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omments4.xml" ContentType="application/vnd.openxmlformats-officedocument.spreadsheetml.comments+xml"/>
  <Override PartName="/xl/drawings/drawing7.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8.xml" ContentType="application/vnd.openxmlformats-officedocument.drawing+xml"/>
  <Override PartName="/xl/comments5.xml" ContentType="application/vnd.openxmlformats-officedocument.spreadsheetml.comments+xml"/>
  <Override PartName="/xl/drawings/drawing9.xml" ContentType="application/vnd.openxmlformats-officedocument.drawing+xml"/>
  <Override PartName="/xl/comments6.xml" ContentType="application/vnd.openxmlformats-officedocument.spreadsheetml.comments+xml"/>
  <Override PartName="/xl/drawings/drawing10.xml" ContentType="application/vnd.openxmlformats-officedocument.drawing+xml"/>
  <Override PartName="/xl/comments7.xml" ContentType="application/vnd.openxmlformats-officedocument.spreadsheetml.comments+xml"/>
  <Override PartName="/xl/drawings/drawing11.xml" ContentType="application/vnd.openxmlformats-officedocument.drawing+xml"/>
  <Override PartName="/xl/comments8.xml" ContentType="application/vnd.openxmlformats-officedocument.spreadsheetml.comments+xml"/>
  <Override PartName="/xl/drawings/drawing12.xml" ContentType="application/vnd.openxmlformats-officedocument.drawing+xml"/>
  <Override PartName="/xl/comments9.xml" ContentType="application/vnd.openxmlformats-officedocument.spreadsheetml.comments+xml"/>
  <Override PartName="/xl/drawings/drawing13.xml" ContentType="application/vnd.openxmlformats-officedocument.drawing+xml"/>
  <Override PartName="/xl/comments10.xml" ContentType="application/vnd.openxmlformats-officedocument.spreadsheetml.comments+xml"/>
  <Override PartName="/xl/drawings/drawing14.xml" ContentType="application/vnd.openxmlformats-officedocument.drawing+xml"/>
  <Override PartName="/xl/comments11.xml" ContentType="application/vnd.openxmlformats-officedocument.spreadsheetml.comments+xml"/>
  <Override PartName="/xl/drawings/drawing15.xml" ContentType="application/vnd.openxmlformats-officedocument.drawing+xml"/>
  <Override PartName="/xl/comments12.xml" ContentType="application/vnd.openxmlformats-officedocument.spreadsheetml.comments+xml"/>
  <Override PartName="/xl/drawings/drawing16.xml" ContentType="application/vnd.openxmlformats-officedocument.drawing+xml"/>
  <Override PartName="/xl/comments13.xml" ContentType="application/vnd.openxmlformats-officedocument.spreadsheetml.comments+xml"/>
  <Override PartName="/xl/drawings/drawing17.xml" ContentType="application/vnd.openxmlformats-officedocument.drawing+xml"/>
  <Override PartName="/xl/comments14.xml" ContentType="application/vnd.openxmlformats-officedocument.spreadsheetml.comments+xml"/>
  <Override PartName="/xl/drawings/drawing18.xml" ContentType="application/vnd.openxmlformats-officedocument.drawing+xml"/>
  <Override PartName="/xl/comments15.xml" ContentType="application/vnd.openxmlformats-officedocument.spreadsheetml.comments+xml"/>
  <Override PartName="/xl/drawings/drawing19.xml" ContentType="application/vnd.openxmlformats-officedocument.drawing+xml"/>
  <Override PartName="/xl/comments16.xml" ContentType="application/vnd.openxmlformats-officedocument.spreadsheetml.comments+xml"/>
  <Override PartName="/xl/drawings/drawing20.xml" ContentType="application/vnd.openxmlformats-officedocument.drawing+xml"/>
  <Override PartName="/xl/comments17.xml" ContentType="application/vnd.openxmlformats-officedocument.spreadsheetml.comments+xml"/>
  <Override PartName="/xl/drawings/drawing21.xml" ContentType="application/vnd.openxmlformats-officedocument.drawing+xml"/>
  <Override PartName="/xl/comments18.xml" ContentType="application/vnd.openxmlformats-officedocument.spreadsheetml.comments+xml"/>
  <Override PartName="/xl/drawings/drawing22.xml" ContentType="application/vnd.openxmlformats-officedocument.drawing+xml"/>
  <Override PartName="/xl/comments19.xml" ContentType="application/vnd.openxmlformats-officedocument.spreadsheetml.comments+xml"/>
  <Override PartName="/xl/drawings/drawing2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codeName="ThisWorkbook" defaultThemeVersion="124226"/>
  <mc:AlternateContent xmlns:mc="http://schemas.openxmlformats.org/markup-compatibility/2006">
    <mc:Choice Requires="x15">
      <x15ac:absPath xmlns:x15ac="http://schemas.microsoft.com/office/spreadsheetml/2010/11/ac" url="C:\Users\sxia\Desktop\Imp\RMIT VN\UAT\UAT9\"/>
    </mc:Choice>
  </mc:AlternateContent>
  <xr:revisionPtr revIDLastSave="0" documentId="13_ncr:1_{4E5D3901-40E6-4FC3-9A82-F9327D07A69E}" xr6:coauthVersionLast="41" xr6:coauthVersionMax="41" xr10:uidLastSave="{00000000-0000-0000-0000-000000000000}"/>
  <bookViews>
    <workbookView xWindow="-108" yWindow="-108" windowWidth="23256" windowHeight="12576" tabRatio="857" firstSheet="7" activeTab="17" xr2:uid="{00000000-000D-0000-FFFF-FFFF00000000}"/>
  </bookViews>
  <sheets>
    <sheet name="Version" sheetId="39" r:id="rId1"/>
    <sheet name="UAT Schedule" sheetId="41" r:id="rId2"/>
    <sheet name="UAT Issue Log" sheetId="42" r:id="rId3"/>
    <sheet name="Index List" sheetId="38" r:id="rId4"/>
    <sheet name="General Index" sheetId="44" r:id="rId5"/>
    <sheet name="Data Validation HIDE" sheetId="45" state="hidden" r:id="rId6"/>
    <sheet name="WageType Location" sheetId="37" r:id="rId7"/>
    <sheet name="Summary" sheetId="43" r:id="rId8"/>
    <sheet name="New Hire" sheetId="1" r:id="rId9"/>
    <sheet name="UAT1-Jan" sheetId="25" r:id="rId10"/>
    <sheet name="UAT2-Feb" sheetId="62" r:id="rId11"/>
    <sheet name="UAT3-Mar" sheetId="50" r:id="rId12"/>
    <sheet name="UAT4-Apr" sheetId="63" r:id="rId13"/>
    <sheet name="UAT5-May" sheetId="64" r:id="rId14"/>
    <sheet name="UAT6-Jun" sheetId="66" r:id="rId15"/>
    <sheet name="UAT7-Jul" sheetId="67" r:id="rId16"/>
    <sheet name="UAT8-Aug" sheetId="68" r:id="rId17"/>
    <sheet name="UAT9-Sep" sheetId="70" r:id="rId18"/>
    <sheet name="UAT10-Oct" sheetId="71" r:id="rId19"/>
    <sheet name="UAT11-Nov" sheetId="72" r:id="rId20"/>
    <sheet name="UAT12-Dec" sheetId="73" r:id="rId21"/>
    <sheet name="UAT13-Jan" sheetId="74" r:id="rId22"/>
    <sheet name="Parallel Validation" sheetId="46" r:id="rId23"/>
    <sheet name="UAT4-Apr Backup" sheetId="75" r:id="rId24"/>
    <sheet name="Confidentiality" sheetId="40" r:id="rId25"/>
  </sheets>
  <definedNames>
    <definedName name="_xlnm.Criteria" localSheetId="24">#REF!</definedName>
    <definedName name="_xlnm.Criteria" localSheetId="18">#REF!</definedName>
    <definedName name="_xlnm.Criteria" localSheetId="19">#REF!</definedName>
    <definedName name="_xlnm.Criteria" localSheetId="20">#REF!</definedName>
    <definedName name="_xlnm.Criteria" localSheetId="21">#REF!</definedName>
    <definedName name="_xlnm.Criteria" localSheetId="10">#REF!</definedName>
    <definedName name="_xlnm.Criteria" localSheetId="11">#REF!</definedName>
    <definedName name="_xlnm.Criteria" localSheetId="12">#REF!</definedName>
    <definedName name="_xlnm.Criteria" localSheetId="23">#REF!</definedName>
    <definedName name="_xlnm.Criteria" localSheetId="13">#REF!</definedName>
    <definedName name="_xlnm.Criteria" localSheetId="14">#REF!</definedName>
    <definedName name="_xlnm.Criteria" localSheetId="15">#REF!</definedName>
    <definedName name="_xlnm.Criteria" localSheetId="16">#REF!</definedName>
    <definedName name="_xlnm.Criteria" localSheetId="17">#REF!</definedName>
    <definedName name="_xlnm.Criteria">#REF!</definedName>
    <definedName name="crmstatus">'Data Validation HIDE'!$B$4:$B$5</definedName>
    <definedName name="cyclestatus">'Data Validation HIDE'!$A$4:$A$6</definedName>
    <definedName name="indexcategory">'Data Validation HIDE'!$A$22:$A$25</definedName>
    <definedName name="issstatus">'Data Validation HIDE'!$B$12:$B$13</definedName>
    <definedName name="issuecat">'UAT Issue Log'!$T$9:$T$9</definedName>
    <definedName name="_xlnm.Print_Area" localSheetId="24">#REF!</definedName>
    <definedName name="_xlnm.Print_Area" localSheetId="18">#REF!</definedName>
    <definedName name="_xlnm.Print_Area" localSheetId="19">#REF!</definedName>
    <definedName name="_xlnm.Print_Area" localSheetId="20">#REF!</definedName>
    <definedName name="_xlnm.Print_Area" localSheetId="21">#REF!</definedName>
    <definedName name="_xlnm.Print_Area" localSheetId="10">#REF!</definedName>
    <definedName name="_xlnm.Print_Area" localSheetId="11">#REF!</definedName>
    <definedName name="_xlnm.Print_Area" localSheetId="12">#REF!</definedName>
    <definedName name="_xlnm.Print_Area" localSheetId="23">#REF!</definedName>
    <definedName name="_xlnm.Print_Area" localSheetId="13">#REF!</definedName>
    <definedName name="_xlnm.Print_Area" localSheetId="14">#REF!</definedName>
    <definedName name="_xlnm.Print_Area" localSheetId="15">#REF!</definedName>
    <definedName name="_xlnm.Print_Area" localSheetId="16">#REF!</definedName>
    <definedName name="_xlnm.Print_Area" localSheetId="17">#REF!</definedName>
    <definedName name="_xlnm.Print_Area">#REF!</definedName>
    <definedName name="_xlnm.Print_Titles" localSheetId="24">#REF!</definedName>
    <definedName name="_xlnm.Print_Titles" localSheetId="18">#REF!</definedName>
    <definedName name="_xlnm.Print_Titles" localSheetId="19">#REF!</definedName>
    <definedName name="_xlnm.Print_Titles" localSheetId="20">#REF!</definedName>
    <definedName name="_xlnm.Print_Titles" localSheetId="21">#REF!</definedName>
    <definedName name="_xlnm.Print_Titles" localSheetId="10">#REF!</definedName>
    <definedName name="_xlnm.Print_Titles" localSheetId="11">#REF!</definedName>
    <definedName name="_xlnm.Print_Titles" localSheetId="12">#REF!</definedName>
    <definedName name="_xlnm.Print_Titles" localSheetId="23">#REF!</definedName>
    <definedName name="_xlnm.Print_Titles" localSheetId="13">#REF!</definedName>
    <definedName name="_xlnm.Print_Titles" localSheetId="14">#REF!</definedName>
    <definedName name="_xlnm.Print_Titles" localSheetId="15">#REF!</definedName>
    <definedName name="_xlnm.Print_Titles" localSheetId="16">#REF!</definedName>
    <definedName name="_xlnm.Print_Titles" localSheetId="17">#REF!</definedName>
    <definedName name="_xlnm.Print_Titles">#REF!</definedName>
    <definedName name="WTinfotype">'WageType Location'!$R$13:$R$13</definedName>
    <definedName name="WTtype">'Data Validation HIDE'!$B$30:$B$37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54" i="70" l="1"/>
  <c r="E154" i="70"/>
  <c r="F154" i="70"/>
  <c r="G154" i="70"/>
  <c r="H154" i="70"/>
  <c r="I154" i="70"/>
  <c r="J154" i="70"/>
  <c r="K154" i="70"/>
  <c r="L154" i="70"/>
  <c r="M154" i="70"/>
  <c r="N154" i="70"/>
  <c r="O154" i="70"/>
  <c r="B154" i="70"/>
  <c r="C154" i="70"/>
  <c r="K76" i="70"/>
  <c r="L76" i="70"/>
  <c r="O76" i="70"/>
  <c r="J76" i="70"/>
  <c r="C76" i="70"/>
  <c r="B123" i="70" l="1"/>
  <c r="B76" i="70"/>
  <c r="C122" i="70"/>
  <c r="D122" i="70"/>
  <c r="E122" i="70"/>
  <c r="F122" i="70"/>
  <c r="G122" i="70"/>
  <c r="H122" i="70"/>
  <c r="I122" i="70"/>
  <c r="J122" i="70"/>
  <c r="K122" i="70"/>
  <c r="L122" i="70"/>
  <c r="M122" i="70"/>
  <c r="N122" i="70"/>
  <c r="O122" i="70"/>
  <c r="B122" i="70"/>
  <c r="C123" i="70"/>
  <c r="E123" i="70"/>
  <c r="F123" i="70"/>
  <c r="G123" i="70"/>
  <c r="H123" i="70"/>
  <c r="I123" i="70"/>
  <c r="J123" i="70"/>
  <c r="K123" i="70"/>
  <c r="L123" i="70"/>
  <c r="M123" i="70"/>
  <c r="N123" i="70"/>
  <c r="O123" i="70"/>
  <c r="F159" i="70" l="1"/>
  <c r="C86" i="68"/>
  <c r="E86" i="68"/>
  <c r="F86" i="68"/>
  <c r="G86" i="68"/>
  <c r="H86" i="68"/>
  <c r="I86" i="68"/>
  <c r="J86" i="68"/>
  <c r="K86" i="68"/>
  <c r="L86" i="68"/>
  <c r="M86" i="68"/>
  <c r="N86" i="68"/>
  <c r="O86" i="68"/>
  <c r="B86" i="68"/>
  <c r="O119" i="66" l="1"/>
  <c r="L90" i="70" l="1"/>
  <c r="C83" i="68" l="1"/>
  <c r="H91" i="70"/>
  <c r="O158" i="70" l="1"/>
  <c r="O157" i="70"/>
  <c r="K91" i="70"/>
  <c r="B91" i="70"/>
  <c r="R80" i="1"/>
  <c r="AD120" i="71" l="1"/>
  <c r="H109" i="71" s="1"/>
  <c r="AD119" i="71"/>
  <c r="E109" i="71" s="1"/>
  <c r="K110" i="70" l="1"/>
  <c r="H102" i="70"/>
  <c r="B102" i="70"/>
  <c r="C102" i="70"/>
  <c r="C84" i="68" l="1"/>
  <c r="E84" i="68"/>
  <c r="F84" i="68"/>
  <c r="G84" i="68"/>
  <c r="H84" i="68"/>
  <c r="I84" i="68"/>
  <c r="J84" i="68"/>
  <c r="K84" i="68"/>
  <c r="L84" i="68"/>
  <c r="M84" i="68"/>
  <c r="N84" i="68"/>
  <c r="O84" i="68"/>
  <c r="B84" i="68"/>
  <c r="E83" i="68"/>
  <c r="F83" i="68"/>
  <c r="G83" i="68"/>
  <c r="H83" i="68"/>
  <c r="I83" i="68"/>
  <c r="J83" i="68"/>
  <c r="K83" i="68"/>
  <c r="L83" i="68"/>
  <c r="M83" i="68"/>
  <c r="N83" i="68"/>
  <c r="O83" i="68"/>
  <c r="B83" i="68"/>
  <c r="R83" i="1" l="1"/>
  <c r="Q83" i="1"/>
  <c r="Q80" i="1"/>
  <c r="I160" i="71" l="1"/>
  <c r="I161" i="71"/>
  <c r="E162" i="71"/>
  <c r="G162" i="71"/>
  <c r="H162" i="71"/>
  <c r="I162" i="71"/>
  <c r="J162" i="71"/>
  <c r="K162" i="71"/>
  <c r="L162" i="71"/>
  <c r="M162" i="71"/>
  <c r="N162" i="71"/>
  <c r="O162" i="71"/>
  <c r="C163" i="71"/>
  <c r="E163" i="71"/>
  <c r="F163" i="71"/>
  <c r="G163" i="71"/>
  <c r="I163" i="71"/>
  <c r="J163" i="71"/>
  <c r="M163" i="71"/>
  <c r="N163" i="71"/>
  <c r="O163" i="71"/>
  <c r="I164" i="71"/>
  <c r="B162" i="71"/>
  <c r="AC99" i="70"/>
  <c r="D168" i="71" l="1"/>
  <c r="D169" i="71"/>
  <c r="D167" i="71"/>
  <c r="D13" i="71"/>
  <c r="D12" i="71"/>
  <c r="D11" i="71"/>
  <c r="D180" i="71" l="1"/>
  <c r="D179" i="71"/>
  <c r="D90" i="71" l="1"/>
  <c r="C77" i="70" l="1"/>
  <c r="D71" i="70"/>
  <c r="D69" i="70"/>
  <c r="D67" i="70"/>
  <c r="D54" i="70" l="1"/>
  <c r="D52" i="70"/>
  <c r="D50" i="70"/>
  <c r="D72" i="70" s="1"/>
  <c r="D133" i="70" l="1"/>
  <c r="D139" i="70" s="1"/>
  <c r="C13" i="67"/>
  <c r="D13" i="67"/>
  <c r="E13" i="67"/>
  <c r="F13" i="67"/>
  <c r="G13" i="67"/>
  <c r="H13" i="67"/>
  <c r="I13" i="67"/>
  <c r="J13" i="67"/>
  <c r="K13" i="67"/>
  <c r="L13" i="67"/>
  <c r="M13" i="67"/>
  <c r="N13" i="67"/>
  <c r="O13" i="67"/>
  <c r="B13" i="67"/>
  <c r="C14" i="66"/>
  <c r="D14" i="66"/>
  <c r="E14" i="66"/>
  <c r="F14" i="66"/>
  <c r="G14" i="66"/>
  <c r="H14" i="66"/>
  <c r="I14" i="66"/>
  <c r="J14" i="66"/>
  <c r="K14" i="66"/>
  <c r="L14" i="66"/>
  <c r="M14" i="66"/>
  <c r="N14" i="66"/>
  <c r="O14" i="66"/>
  <c r="B14" i="66"/>
  <c r="C34" i="70" l="1"/>
  <c r="D34" i="70"/>
  <c r="E34" i="70"/>
  <c r="F34" i="70"/>
  <c r="G34" i="70"/>
  <c r="I34" i="70"/>
  <c r="J34" i="70"/>
  <c r="L34" i="70"/>
  <c r="M34" i="70"/>
  <c r="N34" i="70"/>
  <c r="O34" i="70"/>
  <c r="M33" i="70"/>
  <c r="N33" i="70"/>
  <c r="O33" i="70"/>
  <c r="B33" i="70"/>
  <c r="C33" i="70"/>
  <c r="D33" i="70"/>
  <c r="E33" i="70"/>
  <c r="F33" i="70"/>
  <c r="G33" i="70"/>
  <c r="H33" i="70"/>
  <c r="I33" i="70"/>
  <c r="J33" i="70"/>
  <c r="K33" i="70"/>
  <c r="L33" i="70" l="1"/>
  <c r="K34" i="70" l="1"/>
  <c r="AC132" i="70"/>
  <c r="AC131" i="70"/>
  <c r="AC130" i="70"/>
  <c r="AC129" i="70"/>
  <c r="Q43" i="1"/>
  <c r="D45" i="1"/>
  <c r="F45" i="1"/>
  <c r="G45" i="1"/>
  <c r="I45" i="1"/>
  <c r="L45" i="1"/>
  <c r="M45" i="1"/>
  <c r="O45" i="1"/>
  <c r="C45" i="1"/>
  <c r="AE116" i="70" l="1"/>
  <c r="AE117" i="70"/>
  <c r="AE114" i="70"/>
  <c r="AE115" i="70"/>
  <c r="B34" i="70"/>
  <c r="M75" i="1" l="1"/>
  <c r="I75" i="1"/>
  <c r="C75" i="1"/>
  <c r="G71" i="1"/>
  <c r="D69" i="1"/>
  <c r="E69" i="1"/>
  <c r="F69" i="1"/>
  <c r="G69" i="1"/>
  <c r="H69" i="1"/>
  <c r="I69" i="1"/>
  <c r="J69" i="1"/>
  <c r="K69" i="1"/>
  <c r="L69" i="1"/>
  <c r="M69" i="1"/>
  <c r="N69" i="1"/>
  <c r="O69" i="1"/>
  <c r="P69" i="1"/>
  <c r="C69" i="1"/>
  <c r="P65" i="1"/>
  <c r="D65" i="1"/>
  <c r="E65" i="1"/>
  <c r="F65" i="1"/>
  <c r="G65" i="1"/>
  <c r="H65" i="1"/>
  <c r="I65" i="1"/>
  <c r="J65" i="1"/>
  <c r="K65" i="1"/>
  <c r="L65" i="1"/>
  <c r="M65" i="1"/>
  <c r="N65" i="1"/>
  <c r="O65" i="1"/>
  <c r="C65" i="1"/>
  <c r="D43" i="70" l="1"/>
  <c r="AC121" i="70" l="1"/>
  <c r="D25" i="70" l="1"/>
  <c r="D166" i="70"/>
  <c r="D167" i="70"/>
  <c r="D27" i="70" s="1"/>
  <c r="D168" i="70"/>
  <c r="D170" i="71" s="1"/>
  <c r="G168" i="70"/>
  <c r="G170" i="71" s="1"/>
  <c r="H168" i="70"/>
  <c r="H170" i="71" s="1"/>
  <c r="I168" i="70"/>
  <c r="I170" i="71" s="1"/>
  <c r="O168" i="70"/>
  <c r="O170" i="71" s="1"/>
  <c r="D169" i="70"/>
  <c r="G169" i="70"/>
  <c r="G171" i="71" s="1"/>
  <c r="O169" i="70"/>
  <c r="O171" i="71" s="1"/>
  <c r="D170" i="70"/>
  <c r="D172" i="71" s="1"/>
  <c r="G170" i="70"/>
  <c r="H170" i="70"/>
  <c r="I170" i="70"/>
  <c r="O170" i="70"/>
  <c r="D171" i="70"/>
  <c r="D173" i="71" s="1"/>
  <c r="G171" i="70"/>
  <c r="G173" i="71" s="1"/>
  <c r="H171" i="70"/>
  <c r="H173" i="71" s="1"/>
  <c r="I171" i="70"/>
  <c r="I173" i="71" s="1"/>
  <c r="O171" i="70"/>
  <c r="O173" i="71" s="1"/>
  <c r="D172" i="70"/>
  <c r="G172" i="70"/>
  <c r="G174" i="71" s="1"/>
  <c r="O172" i="70"/>
  <c r="O174" i="71" s="1"/>
  <c r="D164" i="70"/>
  <c r="D22" i="70"/>
  <c r="D21" i="70"/>
  <c r="H172" i="71" l="1"/>
  <c r="O172" i="71"/>
  <c r="I172" i="71"/>
  <c r="G172" i="71"/>
  <c r="D123" i="71"/>
  <c r="D32" i="70"/>
  <c r="D174" i="71"/>
  <c r="D31" i="70"/>
  <c r="D171" i="71"/>
  <c r="D26" i="70"/>
  <c r="D180" i="70"/>
  <c r="D130" i="70" s="1"/>
  <c r="D68" i="70" s="1"/>
  <c r="D179" i="70"/>
  <c r="D129" i="70" s="1"/>
  <c r="O131" i="66"/>
  <c r="O130" i="66"/>
  <c r="D128" i="70" l="1"/>
  <c r="D134" i="70" s="1"/>
  <c r="D135" i="70" s="1"/>
  <c r="D119" i="71"/>
  <c r="D72" i="68"/>
  <c r="D87" i="71" l="1"/>
  <c r="D88" i="71"/>
  <c r="G61" i="64"/>
  <c r="C110" i="68" l="1"/>
  <c r="D71" i="68"/>
  <c r="E110" i="68"/>
  <c r="F110" i="68"/>
  <c r="G110" i="68"/>
  <c r="H110" i="68"/>
  <c r="I110" i="68"/>
  <c r="J110" i="68"/>
  <c r="K110" i="68"/>
  <c r="L110" i="68"/>
  <c r="M110" i="68"/>
  <c r="N110" i="68"/>
  <c r="O110" i="68"/>
  <c r="C111" i="68"/>
  <c r="E111" i="68"/>
  <c r="F111" i="68"/>
  <c r="G111" i="68"/>
  <c r="H111" i="68"/>
  <c r="I111" i="68"/>
  <c r="J111" i="68"/>
  <c r="K111" i="68"/>
  <c r="L111" i="68"/>
  <c r="M111" i="68"/>
  <c r="N111" i="68"/>
  <c r="O111" i="68"/>
  <c r="B110" i="68"/>
  <c r="B111" i="68"/>
  <c r="D46" i="68"/>
  <c r="D44" i="68"/>
  <c r="D38" i="68"/>
  <c r="D49" i="68" s="1"/>
  <c r="D31" i="68"/>
  <c r="D30" i="68"/>
  <c r="D29" i="68"/>
  <c r="D138" i="68"/>
  <c r="D137" i="68"/>
  <c r="I129" i="68"/>
  <c r="I172" i="70" s="1"/>
  <c r="I174" i="71" s="1"/>
  <c r="H129" i="68"/>
  <c r="H172" i="70" s="1"/>
  <c r="H174" i="71" s="1"/>
  <c r="I126" i="68"/>
  <c r="I169" i="70" s="1"/>
  <c r="I171" i="71" s="1"/>
  <c r="H126" i="68"/>
  <c r="H169" i="70" s="1"/>
  <c r="H171" i="71" s="1"/>
  <c r="N124" i="68"/>
  <c r="N167" i="70" s="1"/>
  <c r="N169" i="71" s="1"/>
  <c r="O124" i="68"/>
  <c r="O167" i="70" s="1"/>
  <c r="O169" i="71" s="1"/>
  <c r="N123" i="68"/>
  <c r="N166" i="70" s="1"/>
  <c r="O123" i="68"/>
  <c r="O166" i="70" s="1"/>
  <c r="N121" i="68"/>
  <c r="C11" i="68"/>
  <c r="C11" i="70" s="1"/>
  <c r="E11" i="68"/>
  <c r="E11" i="70" s="1"/>
  <c r="E11" i="71" s="1"/>
  <c r="F11" i="68"/>
  <c r="F11" i="70" s="1"/>
  <c r="F11" i="71" s="1"/>
  <c r="G11" i="68"/>
  <c r="G11" i="70" s="1"/>
  <c r="G11" i="71" s="1"/>
  <c r="H11" i="68"/>
  <c r="H11" i="70" s="1"/>
  <c r="H11" i="71" s="1"/>
  <c r="I11" i="68"/>
  <c r="I11" i="70" s="1"/>
  <c r="I11" i="71" s="1"/>
  <c r="J11" i="68"/>
  <c r="J11" i="70" s="1"/>
  <c r="K11" i="68"/>
  <c r="K11" i="70" s="1"/>
  <c r="L11" i="68"/>
  <c r="L11" i="70" s="1"/>
  <c r="M11" i="68"/>
  <c r="M11" i="70" s="1"/>
  <c r="M11" i="71" s="1"/>
  <c r="N11" i="68"/>
  <c r="N11" i="70" s="1"/>
  <c r="N11" i="71" s="1"/>
  <c r="O11" i="68"/>
  <c r="O11" i="70" s="1"/>
  <c r="C12" i="68"/>
  <c r="C12" i="70" s="1"/>
  <c r="C12" i="71" s="1"/>
  <c r="E12" i="68"/>
  <c r="E12" i="70" s="1"/>
  <c r="E12" i="71" s="1"/>
  <c r="F12" i="68"/>
  <c r="F12" i="70" s="1"/>
  <c r="F12" i="71" s="1"/>
  <c r="G12" i="68"/>
  <c r="G12" i="70" s="1"/>
  <c r="G12" i="71" s="1"/>
  <c r="H12" i="68"/>
  <c r="H12" i="70" s="1"/>
  <c r="H12" i="71" s="1"/>
  <c r="I12" i="68"/>
  <c r="I12" i="70" s="1"/>
  <c r="I12" i="71" s="1"/>
  <c r="J12" i="68"/>
  <c r="J12" i="70" s="1"/>
  <c r="J12" i="71" s="1"/>
  <c r="K12" i="68"/>
  <c r="K12" i="70" s="1"/>
  <c r="K12" i="71" s="1"/>
  <c r="L12" i="68"/>
  <c r="L12" i="70" s="1"/>
  <c r="L12" i="71" s="1"/>
  <c r="M12" i="68"/>
  <c r="M12" i="70" s="1"/>
  <c r="M12" i="71" s="1"/>
  <c r="N12" i="68"/>
  <c r="N12" i="70" s="1"/>
  <c r="N12" i="71" s="1"/>
  <c r="O12" i="68"/>
  <c r="O12" i="70" s="1"/>
  <c r="O12" i="71" s="1"/>
  <c r="B12" i="68"/>
  <c r="B12" i="70" s="1"/>
  <c r="B12" i="71" s="1"/>
  <c r="B11" i="68"/>
  <c r="B11" i="70" s="1"/>
  <c r="B11" i="71" l="1"/>
  <c r="O11" i="71"/>
  <c r="K11" i="71"/>
  <c r="J11" i="71"/>
  <c r="L11" i="71"/>
  <c r="C11" i="71"/>
  <c r="O168" i="71"/>
  <c r="N168" i="71"/>
  <c r="N85" i="68"/>
  <c r="N164" i="70"/>
  <c r="P111" i="68"/>
  <c r="P110" i="68"/>
  <c r="N135" i="68"/>
  <c r="P121" i="67"/>
  <c r="P120" i="67"/>
  <c r="C136" i="67"/>
  <c r="C124" i="68" s="1"/>
  <c r="C167" i="70" s="1"/>
  <c r="C169" i="71" s="1"/>
  <c r="D136" i="67"/>
  <c r="E136" i="67"/>
  <c r="E124" i="68" s="1"/>
  <c r="E167" i="70" s="1"/>
  <c r="E169" i="71" s="1"/>
  <c r="F136" i="67"/>
  <c r="F124" i="68" s="1"/>
  <c r="F167" i="70" s="1"/>
  <c r="F169" i="71" s="1"/>
  <c r="G136" i="67"/>
  <c r="G124" i="68" s="1"/>
  <c r="G167" i="70" s="1"/>
  <c r="G169" i="71" s="1"/>
  <c r="I136" i="67"/>
  <c r="I124" i="68" s="1"/>
  <c r="I167" i="70" s="1"/>
  <c r="I169" i="71" s="1"/>
  <c r="J136" i="67"/>
  <c r="J124" i="68" s="1"/>
  <c r="J167" i="70" s="1"/>
  <c r="J169" i="71" s="1"/>
  <c r="K136" i="67"/>
  <c r="K124" i="68" s="1"/>
  <c r="K167" i="70" s="1"/>
  <c r="K169" i="71" s="1"/>
  <c r="L136" i="67"/>
  <c r="L124" i="68" s="1"/>
  <c r="L167" i="70" s="1"/>
  <c r="L169" i="71" s="1"/>
  <c r="M136" i="67"/>
  <c r="M124" i="68" s="1"/>
  <c r="M167" i="70" s="1"/>
  <c r="M169" i="71" s="1"/>
  <c r="B136" i="67"/>
  <c r="B124" i="68" s="1"/>
  <c r="B167" i="70" s="1"/>
  <c r="B169" i="71" s="1"/>
  <c r="C134" i="67"/>
  <c r="C123" i="68" s="1"/>
  <c r="C166" i="70" s="1"/>
  <c r="D134" i="67"/>
  <c r="E134" i="67"/>
  <c r="E123" i="68" s="1"/>
  <c r="E166" i="70" s="1"/>
  <c r="F134" i="67"/>
  <c r="F123" i="68" s="1"/>
  <c r="F166" i="70" s="1"/>
  <c r="G134" i="67"/>
  <c r="G123" i="68" s="1"/>
  <c r="G166" i="70" s="1"/>
  <c r="I134" i="67"/>
  <c r="I123" i="68" s="1"/>
  <c r="I166" i="70" s="1"/>
  <c r="J134" i="67"/>
  <c r="J123" i="68" s="1"/>
  <c r="J166" i="70" s="1"/>
  <c r="K134" i="67"/>
  <c r="K123" i="68" s="1"/>
  <c r="K166" i="70" s="1"/>
  <c r="L134" i="67"/>
  <c r="L123" i="68" s="1"/>
  <c r="L166" i="70" s="1"/>
  <c r="M134" i="67"/>
  <c r="M123" i="68" s="1"/>
  <c r="M166" i="70" s="1"/>
  <c r="B134" i="67"/>
  <c r="B123" i="68" s="1"/>
  <c r="B166" i="70" s="1"/>
  <c r="O131" i="67"/>
  <c r="N148" i="67"/>
  <c r="C131" i="67"/>
  <c r="D131" i="67"/>
  <c r="E131" i="67"/>
  <c r="F131" i="67"/>
  <c r="J131" i="67"/>
  <c r="K131" i="67"/>
  <c r="L131" i="67"/>
  <c r="M131" i="67"/>
  <c r="B131" i="67"/>
  <c r="B121" i="68" s="1"/>
  <c r="B135" i="68" s="1"/>
  <c r="O14" i="67"/>
  <c r="O13" i="68" s="1"/>
  <c r="O13" i="70" s="1"/>
  <c r="C119" i="67"/>
  <c r="C109" i="68" s="1"/>
  <c r="E119" i="67"/>
  <c r="E109" i="68" s="1"/>
  <c r="F119" i="67"/>
  <c r="F109" i="68" s="1"/>
  <c r="I119" i="67"/>
  <c r="I109" i="68" s="1"/>
  <c r="O119" i="67"/>
  <c r="O109" i="68" s="1"/>
  <c r="B119" i="67"/>
  <c r="B109" i="68" s="1"/>
  <c r="C118" i="67"/>
  <c r="C108" i="68" s="1"/>
  <c r="D118" i="67"/>
  <c r="E118" i="67"/>
  <c r="E108" i="68" s="1"/>
  <c r="F118" i="67"/>
  <c r="F108" i="68" s="1"/>
  <c r="I118" i="67"/>
  <c r="I108" i="68" s="1"/>
  <c r="O118" i="67"/>
  <c r="O108" i="68" s="1"/>
  <c r="B118" i="67"/>
  <c r="B108" i="68" s="1"/>
  <c r="I168" i="71" l="1"/>
  <c r="L168" i="71"/>
  <c r="G168" i="71"/>
  <c r="C168" i="71"/>
  <c r="M168" i="71"/>
  <c r="K168" i="71"/>
  <c r="F168" i="71"/>
  <c r="B168" i="71"/>
  <c r="J168" i="71"/>
  <c r="E168" i="71"/>
  <c r="O160" i="71"/>
  <c r="O161" i="71"/>
  <c r="N177" i="70"/>
  <c r="N115" i="70" s="1"/>
  <c r="N167" i="71"/>
  <c r="N119" i="70"/>
  <c r="O13" i="71"/>
  <c r="M148" i="67"/>
  <c r="M121" i="68"/>
  <c r="E148" i="67"/>
  <c r="E121" i="68"/>
  <c r="O148" i="67"/>
  <c r="O121" i="68"/>
  <c r="L148" i="67"/>
  <c r="L121" i="68"/>
  <c r="N89" i="67"/>
  <c r="N90" i="67" s="1"/>
  <c r="P90" i="67" s="1"/>
  <c r="B85" i="68"/>
  <c r="B164" i="70"/>
  <c r="J148" i="67"/>
  <c r="J121" i="68"/>
  <c r="F148" i="67"/>
  <c r="F121" i="68"/>
  <c r="K148" i="67"/>
  <c r="K121" i="68"/>
  <c r="C148" i="67"/>
  <c r="C121" i="68"/>
  <c r="N81" i="68"/>
  <c r="B81" i="68"/>
  <c r="D148" i="67"/>
  <c r="D87" i="67" s="1"/>
  <c r="D89" i="67"/>
  <c r="N122" i="71" l="1"/>
  <c r="N179" i="71"/>
  <c r="B177" i="70"/>
  <c r="B167" i="71"/>
  <c r="B119" i="70"/>
  <c r="F85" i="68"/>
  <c r="F164" i="70"/>
  <c r="F135" i="68"/>
  <c r="F81" i="68" s="1"/>
  <c r="L164" i="70"/>
  <c r="L85" i="68"/>
  <c r="L135" i="68"/>
  <c r="L81" i="68" s="1"/>
  <c r="E164" i="70"/>
  <c r="E135" i="68"/>
  <c r="E81" i="68" s="1"/>
  <c r="E85" i="68"/>
  <c r="B115" i="70"/>
  <c r="J164" i="70"/>
  <c r="J135" i="68"/>
  <c r="J81" i="68" s="1"/>
  <c r="J85" i="68"/>
  <c r="C164" i="70"/>
  <c r="C135" i="68"/>
  <c r="C81" i="68" s="1"/>
  <c r="C85" i="68"/>
  <c r="K85" i="68"/>
  <c r="K164" i="70"/>
  <c r="K135" i="68"/>
  <c r="K81" i="68" s="1"/>
  <c r="O85" i="68"/>
  <c r="O164" i="70"/>
  <c r="O136" i="68"/>
  <c r="O135" i="68"/>
  <c r="M164" i="70"/>
  <c r="M85" i="68"/>
  <c r="P86" i="68" s="1"/>
  <c r="M135" i="68"/>
  <c r="M81" i="68" s="1"/>
  <c r="P133" i="66"/>
  <c r="P132" i="66"/>
  <c r="C134" i="66"/>
  <c r="C122" i="67" s="1"/>
  <c r="C112" i="68" s="1"/>
  <c r="D134" i="66"/>
  <c r="D122" i="67" s="1"/>
  <c r="E134" i="66"/>
  <c r="E122" i="67" s="1"/>
  <c r="E112" i="68" s="1"/>
  <c r="F134" i="66"/>
  <c r="F122" i="67" s="1"/>
  <c r="F112" i="68" s="1"/>
  <c r="G134" i="66"/>
  <c r="G122" i="67" s="1"/>
  <c r="G112" i="68" s="1"/>
  <c r="H134" i="66"/>
  <c r="H122" i="67" s="1"/>
  <c r="H112" i="68" s="1"/>
  <c r="I134" i="66"/>
  <c r="I122" i="67" s="1"/>
  <c r="I112" i="68" s="1"/>
  <c r="K134" i="66"/>
  <c r="K122" i="67" s="1"/>
  <c r="K112" i="68" s="1"/>
  <c r="L134" i="66"/>
  <c r="L122" i="67" s="1"/>
  <c r="L112" i="68" s="1"/>
  <c r="M134" i="66"/>
  <c r="M122" i="67" s="1"/>
  <c r="M112" i="68" s="1"/>
  <c r="N134" i="66"/>
  <c r="N122" i="67" s="1"/>
  <c r="N112" i="68" s="1"/>
  <c r="O134" i="66"/>
  <c r="O122" i="67" s="1"/>
  <c r="O112" i="68" s="1"/>
  <c r="O161" i="70" s="1"/>
  <c r="O164" i="71" s="1"/>
  <c r="D131" i="66"/>
  <c r="D119" i="67" s="1"/>
  <c r="F177" i="70" l="1"/>
  <c r="F167" i="71"/>
  <c r="F119" i="70"/>
  <c r="K177" i="70"/>
  <c r="K167" i="71"/>
  <c r="K119" i="70"/>
  <c r="C177" i="70"/>
  <c r="C115" i="70" s="1"/>
  <c r="C167" i="71"/>
  <c r="C119" i="70"/>
  <c r="O177" i="70"/>
  <c r="O116" i="70" s="1"/>
  <c r="O167" i="71"/>
  <c r="O123" i="71" s="1"/>
  <c r="O119" i="70"/>
  <c r="M177" i="70"/>
  <c r="M115" i="70" s="1"/>
  <c r="M167" i="71"/>
  <c r="M119" i="70"/>
  <c r="L177" i="70"/>
  <c r="L115" i="70" s="1"/>
  <c r="L167" i="71"/>
  <c r="L119" i="70"/>
  <c r="J177" i="70"/>
  <c r="J167" i="71"/>
  <c r="J119" i="70"/>
  <c r="E177" i="70"/>
  <c r="E115" i="70" s="1"/>
  <c r="E167" i="71"/>
  <c r="E119" i="70"/>
  <c r="B122" i="71"/>
  <c r="B179" i="71"/>
  <c r="J115" i="70"/>
  <c r="K115" i="70"/>
  <c r="F115" i="70"/>
  <c r="O81" i="68"/>
  <c r="O82" i="68"/>
  <c r="O72" i="68" s="1"/>
  <c r="M88" i="70"/>
  <c r="M89" i="70"/>
  <c r="N75" i="66"/>
  <c r="M75" i="66"/>
  <c r="J75" i="66"/>
  <c r="E75" i="66"/>
  <c r="B75" i="66"/>
  <c r="O115" i="70" l="1"/>
  <c r="L122" i="71"/>
  <c r="L179" i="71"/>
  <c r="K179" i="71"/>
  <c r="K122" i="71"/>
  <c r="E122" i="71"/>
  <c r="E179" i="71"/>
  <c r="O122" i="71"/>
  <c r="O180" i="71"/>
  <c r="O179" i="71"/>
  <c r="F122" i="71"/>
  <c r="F179" i="71"/>
  <c r="J122" i="71"/>
  <c r="J179" i="71"/>
  <c r="C122" i="71"/>
  <c r="C179" i="71"/>
  <c r="M122" i="71"/>
  <c r="M179" i="71"/>
  <c r="O83" i="70"/>
  <c r="O82" i="70"/>
  <c r="K130" i="66"/>
  <c r="K118" i="67" s="1"/>
  <c r="K108" i="68" s="1"/>
  <c r="L130" i="66"/>
  <c r="L118" i="67" s="1"/>
  <c r="L108" i="68" s="1"/>
  <c r="M130" i="66"/>
  <c r="M118" i="67" s="1"/>
  <c r="M108" i="68" s="1"/>
  <c r="N130" i="66"/>
  <c r="N118" i="67" s="1"/>
  <c r="N108" i="68" s="1"/>
  <c r="K131" i="66"/>
  <c r="K119" i="67" s="1"/>
  <c r="K109" i="68" s="1"/>
  <c r="L131" i="66"/>
  <c r="L119" i="67" s="1"/>
  <c r="L109" i="68" s="1"/>
  <c r="M131" i="66"/>
  <c r="M119" i="67" s="1"/>
  <c r="M109" i="68" s="1"/>
  <c r="N131" i="66"/>
  <c r="N119" i="67" s="1"/>
  <c r="N109" i="68" s="1"/>
  <c r="J131" i="66"/>
  <c r="J119" i="67" s="1"/>
  <c r="J109" i="68" s="1"/>
  <c r="J130" i="66"/>
  <c r="J118" i="67" s="1"/>
  <c r="J108" i="68" s="1"/>
  <c r="H131" i="66"/>
  <c r="H119" i="67" s="1"/>
  <c r="H109" i="68" s="1"/>
  <c r="H130" i="66"/>
  <c r="H118" i="67" s="1"/>
  <c r="H108" i="68" s="1"/>
  <c r="O119" i="71" l="1"/>
  <c r="O90" i="71"/>
  <c r="C33" i="66"/>
  <c r="D33" i="66"/>
  <c r="F33" i="66"/>
  <c r="G33" i="66"/>
  <c r="H33" i="66"/>
  <c r="I33" i="66"/>
  <c r="J33" i="66"/>
  <c r="K33" i="66"/>
  <c r="L33" i="66"/>
  <c r="O33" i="66"/>
  <c r="C34" i="66"/>
  <c r="D34" i="66"/>
  <c r="F34" i="66"/>
  <c r="G34" i="66"/>
  <c r="H34" i="66"/>
  <c r="I34" i="66"/>
  <c r="J34" i="66"/>
  <c r="K34" i="66"/>
  <c r="L34" i="66"/>
  <c r="M34" i="66"/>
  <c r="N34" i="66"/>
  <c r="O34" i="66"/>
  <c r="C35" i="66"/>
  <c r="D35" i="66"/>
  <c r="F35" i="66"/>
  <c r="G35" i="66"/>
  <c r="H35" i="66"/>
  <c r="I35" i="66"/>
  <c r="J35" i="66"/>
  <c r="K35" i="66"/>
  <c r="L35" i="66"/>
  <c r="O35" i="66"/>
  <c r="C36" i="66"/>
  <c r="D36" i="66"/>
  <c r="F36" i="66"/>
  <c r="G36" i="66"/>
  <c r="H36" i="66"/>
  <c r="I36" i="66"/>
  <c r="J36" i="66"/>
  <c r="K36" i="66"/>
  <c r="L36" i="66"/>
  <c r="M36" i="66"/>
  <c r="O36" i="66"/>
  <c r="C37" i="66"/>
  <c r="D37" i="66"/>
  <c r="E37" i="66"/>
  <c r="F37" i="66"/>
  <c r="G37" i="66"/>
  <c r="H37" i="66"/>
  <c r="I37" i="66"/>
  <c r="J37" i="66"/>
  <c r="K37" i="66"/>
  <c r="L37" i="66"/>
  <c r="N37" i="66"/>
  <c r="O37" i="66"/>
  <c r="C38" i="66"/>
  <c r="D38" i="66"/>
  <c r="E38" i="66"/>
  <c r="F38" i="66"/>
  <c r="G38" i="66"/>
  <c r="H38" i="66"/>
  <c r="I38" i="66"/>
  <c r="J38" i="66"/>
  <c r="K38" i="66"/>
  <c r="L38" i="66"/>
  <c r="N38" i="66"/>
  <c r="O38" i="66"/>
  <c r="C39" i="66"/>
  <c r="D39" i="66"/>
  <c r="F39" i="66"/>
  <c r="G39" i="66"/>
  <c r="H39" i="66"/>
  <c r="I39" i="66"/>
  <c r="J39" i="66"/>
  <c r="K39" i="66"/>
  <c r="L39" i="66"/>
  <c r="M39" i="66"/>
  <c r="N39" i="66"/>
  <c r="O39" i="66"/>
  <c r="C40" i="66"/>
  <c r="D40" i="66"/>
  <c r="F40" i="66"/>
  <c r="G40" i="66"/>
  <c r="H40" i="66"/>
  <c r="I40" i="66"/>
  <c r="J40" i="66"/>
  <c r="K40" i="66"/>
  <c r="L40" i="66"/>
  <c r="M40" i="66"/>
  <c r="N40" i="66"/>
  <c r="O40" i="66"/>
  <c r="B34" i="66"/>
  <c r="B36" i="66"/>
  <c r="B37" i="66"/>
  <c r="B38" i="66"/>
  <c r="B39" i="66"/>
  <c r="B40" i="66"/>
  <c r="O88" i="71" l="1"/>
  <c r="O87" i="71"/>
  <c r="D75" i="67"/>
  <c r="D74" i="67"/>
  <c r="D31" i="67"/>
  <c r="D29" i="67"/>
  <c r="B148" i="67"/>
  <c r="B87" i="67" s="1"/>
  <c r="I147" i="67"/>
  <c r="I134" i="68" s="1"/>
  <c r="I176" i="70" s="1"/>
  <c r="I178" i="71" s="1"/>
  <c r="I146" i="67"/>
  <c r="H147" i="67"/>
  <c r="H134" i="68" s="1"/>
  <c r="H176" i="70" s="1"/>
  <c r="H178" i="71" s="1"/>
  <c r="H146" i="67"/>
  <c r="G147" i="67"/>
  <c r="G134" i="68" s="1"/>
  <c r="G176" i="70" s="1"/>
  <c r="G178" i="71" s="1"/>
  <c r="G146" i="67"/>
  <c r="G133" i="68" l="1"/>
  <c r="G175" i="70" s="1"/>
  <c r="G177" i="71" s="1"/>
  <c r="I133" i="68"/>
  <c r="I175" i="70" s="1"/>
  <c r="I177" i="71" s="1"/>
  <c r="H133" i="68"/>
  <c r="H175" i="70" s="1"/>
  <c r="H177" i="71" s="1"/>
  <c r="B89" i="67"/>
  <c r="B75" i="67" l="1"/>
  <c r="B74" i="67"/>
  <c r="C162" i="66" l="1"/>
  <c r="D162" i="66"/>
  <c r="E162" i="66"/>
  <c r="F162" i="66"/>
  <c r="J162" i="66"/>
  <c r="K162" i="66"/>
  <c r="L162" i="66"/>
  <c r="M162" i="66"/>
  <c r="N162" i="66"/>
  <c r="O162" i="66"/>
  <c r="B162" i="66"/>
  <c r="D110" i="66"/>
  <c r="C160" i="66" l="1"/>
  <c r="C102" i="66" s="1"/>
  <c r="C79" i="66" s="1"/>
  <c r="D160" i="66"/>
  <c r="D102" i="66" s="1"/>
  <c r="E160" i="66"/>
  <c r="F160" i="66"/>
  <c r="F102" i="66" s="1"/>
  <c r="F79" i="66" s="1"/>
  <c r="J160" i="66"/>
  <c r="J100" i="66" s="1"/>
  <c r="J78" i="66" s="1"/>
  <c r="K160" i="66"/>
  <c r="K102" i="66" s="1"/>
  <c r="K79" i="66" s="1"/>
  <c r="L160" i="66"/>
  <c r="M160" i="66"/>
  <c r="M102" i="66" s="1"/>
  <c r="M79" i="66" s="1"/>
  <c r="N160" i="66"/>
  <c r="N100" i="66" s="1"/>
  <c r="O160" i="66"/>
  <c r="O102" i="66" s="1"/>
  <c r="B160" i="66"/>
  <c r="C159" i="66"/>
  <c r="D159" i="66"/>
  <c r="D99" i="66" s="1"/>
  <c r="E159" i="66"/>
  <c r="F159" i="66"/>
  <c r="J159" i="66"/>
  <c r="K159" i="66"/>
  <c r="L159" i="66"/>
  <c r="M159" i="66"/>
  <c r="M99" i="66" s="1"/>
  <c r="N159" i="66"/>
  <c r="O159" i="66"/>
  <c r="B159" i="66"/>
  <c r="I157" i="66"/>
  <c r="I158" i="66"/>
  <c r="G158" i="66"/>
  <c r="H158" i="66"/>
  <c r="G157" i="66"/>
  <c r="H157" i="66"/>
  <c r="H148" i="66"/>
  <c r="H136" i="67" s="1"/>
  <c r="H124" i="68" s="1"/>
  <c r="H167" i="70" s="1"/>
  <c r="H169" i="71" s="1"/>
  <c r="H147" i="66"/>
  <c r="H146" i="66"/>
  <c r="H134" i="67" s="1"/>
  <c r="H123" i="68" s="1"/>
  <c r="H145" i="66"/>
  <c r="G144" i="66"/>
  <c r="G131" i="67" s="1"/>
  <c r="I144" i="66"/>
  <c r="I131" i="67" s="1"/>
  <c r="H144" i="66"/>
  <c r="H131" i="67" s="1"/>
  <c r="G121" i="68" l="1"/>
  <c r="G148" i="67"/>
  <c r="N78" i="66"/>
  <c r="N84" i="67"/>
  <c r="N38" i="67" s="1"/>
  <c r="P38" i="67" s="1"/>
  <c r="H121" i="68"/>
  <c r="H148" i="67"/>
  <c r="I121" i="68"/>
  <c r="I148" i="67"/>
  <c r="H166" i="70"/>
  <c r="I162" i="66"/>
  <c r="H162" i="66"/>
  <c r="G162" i="66"/>
  <c r="F100" i="66"/>
  <c r="F78" i="66" s="1"/>
  <c r="N102" i="66"/>
  <c r="N79" i="66" s="1"/>
  <c r="J102" i="66"/>
  <c r="J79" i="66" s="1"/>
  <c r="B102" i="66"/>
  <c r="B79" i="66" s="1"/>
  <c r="B100" i="66"/>
  <c r="L102" i="66"/>
  <c r="L79" i="66" s="1"/>
  <c r="L100" i="66"/>
  <c r="L78" i="66" s="1"/>
  <c r="E102" i="66"/>
  <c r="E79" i="66" s="1"/>
  <c r="E100" i="66"/>
  <c r="O99" i="66"/>
  <c r="M100" i="66"/>
  <c r="D100" i="66"/>
  <c r="D78" i="66" s="1"/>
  <c r="E99" i="66"/>
  <c r="O100" i="66"/>
  <c r="O78" i="66" s="1"/>
  <c r="K100" i="66"/>
  <c r="K78" i="66" s="1"/>
  <c r="C100" i="66"/>
  <c r="C78" i="66" s="1"/>
  <c r="H159" i="66"/>
  <c r="G159" i="66"/>
  <c r="I160" i="66"/>
  <c r="H160" i="66"/>
  <c r="I159" i="66"/>
  <c r="G160" i="66"/>
  <c r="O99" i="64"/>
  <c r="H168" i="71" l="1"/>
  <c r="M78" i="66"/>
  <c r="M82" i="67"/>
  <c r="M81" i="67"/>
  <c r="I85" i="68"/>
  <c r="I164" i="70"/>
  <c r="I135" i="68"/>
  <c r="E78" i="66"/>
  <c r="E81" i="67"/>
  <c r="B78" i="66"/>
  <c r="B81" i="67"/>
  <c r="M80" i="67"/>
  <c r="H85" i="68"/>
  <c r="H164" i="70"/>
  <c r="H135" i="68"/>
  <c r="G85" i="68"/>
  <c r="P85" i="68" s="1"/>
  <c r="G164" i="70"/>
  <c r="G135" i="68"/>
  <c r="H102" i="66"/>
  <c r="H79" i="66" s="1"/>
  <c r="H100" i="66"/>
  <c r="H78" i="66" s="1"/>
  <c r="I102" i="66"/>
  <c r="I79" i="66" s="1"/>
  <c r="I100" i="66"/>
  <c r="I78" i="66" s="1"/>
  <c r="G102" i="66"/>
  <c r="G100" i="66"/>
  <c r="G78" i="66" s="1"/>
  <c r="O100" i="64"/>
  <c r="H82" i="64"/>
  <c r="H81" i="64"/>
  <c r="G177" i="70" l="1"/>
  <c r="G115" i="70" s="1"/>
  <c r="G167" i="71"/>
  <c r="G123" i="71" s="1"/>
  <c r="G119" i="70"/>
  <c r="H177" i="70"/>
  <c r="H115" i="70" s="1"/>
  <c r="H167" i="71"/>
  <c r="H123" i="71" s="1"/>
  <c r="H119" i="70"/>
  <c r="I177" i="70"/>
  <c r="I115" i="70" s="1"/>
  <c r="I167" i="71"/>
  <c r="I123" i="71" s="1"/>
  <c r="I119" i="70"/>
  <c r="H81" i="68"/>
  <c r="H82" i="68"/>
  <c r="H72" i="68" s="1"/>
  <c r="I81" i="68"/>
  <c r="I82" i="68"/>
  <c r="I72" i="68" s="1"/>
  <c r="G81" i="68"/>
  <c r="G82" i="68"/>
  <c r="G116" i="70"/>
  <c r="G82" i="70" s="1"/>
  <c r="P78" i="66"/>
  <c r="G100" i="64"/>
  <c r="G131" i="66" s="1"/>
  <c r="G99" i="64"/>
  <c r="G130" i="66" s="1"/>
  <c r="G107" i="64"/>
  <c r="G106" i="64"/>
  <c r="G125" i="64"/>
  <c r="G124" i="64"/>
  <c r="G112" i="64"/>
  <c r="I116" i="70" l="1"/>
  <c r="I82" i="70" s="1"/>
  <c r="P119" i="70"/>
  <c r="H116" i="70"/>
  <c r="G122" i="71"/>
  <c r="G179" i="71"/>
  <c r="I122" i="71"/>
  <c r="I179" i="71"/>
  <c r="H122" i="71"/>
  <c r="H179" i="71"/>
  <c r="G119" i="67"/>
  <c r="P131" i="66"/>
  <c r="G79" i="66"/>
  <c r="G118" i="67"/>
  <c r="P130" i="66"/>
  <c r="P149" i="75"/>
  <c r="O145" i="75"/>
  <c r="G145" i="75"/>
  <c r="I144" i="75"/>
  <c r="H144" i="75"/>
  <c r="P144" i="75" s="1"/>
  <c r="I143" i="75"/>
  <c r="H143" i="75"/>
  <c r="P142" i="75"/>
  <c r="P141" i="75"/>
  <c r="P140" i="75"/>
  <c r="P139" i="75"/>
  <c r="P138" i="75"/>
  <c r="P137" i="75"/>
  <c r="P136" i="75"/>
  <c r="P135" i="75"/>
  <c r="O132" i="75"/>
  <c r="O27" i="75" s="1"/>
  <c r="G132" i="75"/>
  <c r="P130" i="75"/>
  <c r="P129" i="75"/>
  <c r="P124" i="75"/>
  <c r="P123" i="75"/>
  <c r="P117" i="75"/>
  <c r="P116" i="75"/>
  <c r="P110" i="75"/>
  <c r="P109" i="75"/>
  <c r="P103" i="75"/>
  <c r="P102" i="75"/>
  <c r="P87" i="75"/>
  <c r="I87" i="75"/>
  <c r="H87" i="75"/>
  <c r="I86" i="75"/>
  <c r="P86" i="75" s="1"/>
  <c r="H86" i="75"/>
  <c r="K63" i="75"/>
  <c r="I63" i="75"/>
  <c r="O49" i="75"/>
  <c r="N49" i="75"/>
  <c r="M49" i="75"/>
  <c r="L49" i="75"/>
  <c r="K49" i="75"/>
  <c r="J49" i="75"/>
  <c r="I49" i="75"/>
  <c r="O48" i="75"/>
  <c r="N48" i="75"/>
  <c r="M48" i="75"/>
  <c r="L48" i="75"/>
  <c r="K48" i="75"/>
  <c r="J48" i="75"/>
  <c r="I48" i="75"/>
  <c r="K34" i="75"/>
  <c r="I34" i="75"/>
  <c r="E34" i="75"/>
  <c r="B34" i="75"/>
  <c r="K33" i="75"/>
  <c r="I33" i="75"/>
  <c r="E33" i="75"/>
  <c r="B33" i="75"/>
  <c r="K32" i="75"/>
  <c r="I32" i="75"/>
  <c r="E32" i="75"/>
  <c r="B32" i="75"/>
  <c r="K31" i="75"/>
  <c r="I31" i="75"/>
  <c r="E31" i="75"/>
  <c r="B31" i="75"/>
  <c r="G27" i="75"/>
  <c r="O18" i="75"/>
  <c r="O20" i="75" s="1"/>
  <c r="N18" i="75"/>
  <c r="M18" i="75"/>
  <c r="L18" i="75"/>
  <c r="L21" i="75" s="1"/>
  <c r="K18" i="75"/>
  <c r="K20" i="75" s="1"/>
  <c r="J18" i="75"/>
  <c r="I18" i="75"/>
  <c r="H18" i="75"/>
  <c r="G18" i="75"/>
  <c r="G20" i="75" s="1"/>
  <c r="F18" i="75"/>
  <c r="F21" i="75" s="1"/>
  <c r="E18" i="75"/>
  <c r="D18" i="75"/>
  <c r="C18" i="75"/>
  <c r="C20" i="75" s="1"/>
  <c r="B18" i="75"/>
  <c r="N17" i="75"/>
  <c r="L17" i="75"/>
  <c r="K17" i="75"/>
  <c r="I17" i="75"/>
  <c r="H17" i="75"/>
  <c r="F17" i="75"/>
  <c r="E17" i="75"/>
  <c r="C17" i="75"/>
  <c r="B17" i="75"/>
  <c r="O16" i="75"/>
  <c r="N16" i="75"/>
  <c r="M16" i="75"/>
  <c r="L16" i="75"/>
  <c r="K16" i="75"/>
  <c r="J16" i="75"/>
  <c r="I16" i="75"/>
  <c r="H16" i="75"/>
  <c r="G16" i="75"/>
  <c r="F16" i="75"/>
  <c r="F84" i="75" s="1"/>
  <c r="E16" i="75"/>
  <c r="E84" i="75" s="1"/>
  <c r="D16" i="75"/>
  <c r="C16" i="75"/>
  <c r="C84" i="75" s="1"/>
  <c r="B16" i="75"/>
  <c r="B84" i="75" s="1"/>
  <c r="O15" i="75"/>
  <c r="N15" i="75"/>
  <c r="N83" i="75" s="1"/>
  <c r="M15" i="75"/>
  <c r="L15" i="75"/>
  <c r="K15" i="75"/>
  <c r="K83" i="75" s="1"/>
  <c r="J15" i="75"/>
  <c r="I15" i="75"/>
  <c r="H15" i="75"/>
  <c r="G15" i="75"/>
  <c r="F15" i="75"/>
  <c r="E15" i="75"/>
  <c r="D15" i="75"/>
  <c r="C15" i="75"/>
  <c r="B15" i="75"/>
  <c r="O14" i="75"/>
  <c r="N14" i="75"/>
  <c r="M14" i="75"/>
  <c r="L14" i="75"/>
  <c r="K14" i="75"/>
  <c r="J14" i="75"/>
  <c r="I14" i="75"/>
  <c r="H14" i="75"/>
  <c r="G14" i="75"/>
  <c r="F14" i="75"/>
  <c r="E14" i="75"/>
  <c r="D14" i="75"/>
  <c r="C14" i="75"/>
  <c r="B14" i="75"/>
  <c r="O13" i="75"/>
  <c r="O146" i="75" s="1"/>
  <c r="G13" i="75"/>
  <c r="G146" i="75" s="1"/>
  <c r="O12" i="75"/>
  <c r="N12" i="75"/>
  <c r="M12" i="75"/>
  <c r="L12" i="75"/>
  <c r="K12" i="75"/>
  <c r="J12" i="75"/>
  <c r="I12" i="75"/>
  <c r="H12" i="75"/>
  <c r="G12" i="75"/>
  <c r="F12" i="75"/>
  <c r="E12" i="75"/>
  <c r="D12" i="75"/>
  <c r="C12" i="75"/>
  <c r="B12" i="75"/>
  <c r="O11" i="75"/>
  <c r="N11" i="75"/>
  <c r="M11" i="75"/>
  <c r="L11" i="75"/>
  <c r="K11" i="75"/>
  <c r="J11" i="75"/>
  <c r="I11" i="75"/>
  <c r="H11" i="75"/>
  <c r="G11" i="75"/>
  <c r="F11" i="75"/>
  <c r="E11" i="75"/>
  <c r="D11" i="75"/>
  <c r="C11" i="75"/>
  <c r="B11" i="75"/>
  <c r="O8" i="75"/>
  <c r="N8" i="75"/>
  <c r="M8" i="75"/>
  <c r="L8" i="75"/>
  <c r="K8" i="75"/>
  <c r="J8" i="75"/>
  <c r="I8" i="75"/>
  <c r="H8" i="75"/>
  <c r="G8" i="75"/>
  <c r="F8" i="75"/>
  <c r="E8" i="75"/>
  <c r="D8" i="75"/>
  <c r="C8" i="75"/>
  <c r="B8" i="75"/>
  <c r="G119" i="71" l="1"/>
  <c r="I119" i="71"/>
  <c r="H119" i="71"/>
  <c r="P33" i="75"/>
  <c r="P34" i="75"/>
  <c r="P27" i="75"/>
  <c r="P63" i="75"/>
  <c r="P143" i="75"/>
  <c r="G108" i="68"/>
  <c r="P118" i="67"/>
  <c r="G109" i="68"/>
  <c r="P109" i="68" s="1"/>
  <c r="P119" i="67"/>
  <c r="P132" i="75"/>
  <c r="B83" i="75"/>
  <c r="F83" i="75"/>
  <c r="J83" i="75"/>
  <c r="H51" i="75"/>
  <c r="P51" i="75" s="1"/>
  <c r="D147" i="75"/>
  <c r="D148" i="75"/>
  <c r="D134" i="75"/>
  <c r="D133" i="75"/>
  <c r="D131" i="75"/>
  <c r="D62" i="75"/>
  <c r="D48" i="75" s="1"/>
  <c r="D20" i="75"/>
  <c r="H134" i="75"/>
  <c r="H131" i="75"/>
  <c r="H133" i="75"/>
  <c r="H80" i="75" s="1"/>
  <c r="H20" i="75"/>
  <c r="D21" i="75"/>
  <c r="G128" i="75"/>
  <c r="G78" i="75"/>
  <c r="G77" i="75"/>
  <c r="G24" i="75"/>
  <c r="O128" i="75"/>
  <c r="O78" i="75"/>
  <c r="O24" i="75"/>
  <c r="O77" i="75"/>
  <c r="C83" i="75"/>
  <c r="G79" i="75"/>
  <c r="G83" i="75"/>
  <c r="O83" i="75"/>
  <c r="O79" i="75"/>
  <c r="E148" i="75"/>
  <c r="E133" i="75"/>
  <c r="E131" i="75"/>
  <c r="E147" i="75"/>
  <c r="E134" i="75"/>
  <c r="E62" i="75"/>
  <c r="E48" i="75" s="1"/>
  <c r="E21" i="75"/>
  <c r="I133" i="75"/>
  <c r="I131" i="75"/>
  <c r="I134" i="75"/>
  <c r="I21" i="75"/>
  <c r="M148" i="75"/>
  <c r="M133" i="75"/>
  <c r="M147" i="75"/>
  <c r="M131" i="75"/>
  <c r="M134" i="75"/>
  <c r="M21" i="75"/>
  <c r="E20" i="75"/>
  <c r="M20" i="75"/>
  <c r="P31" i="75"/>
  <c r="P32" i="75"/>
  <c r="L83" i="75"/>
  <c r="B133" i="75"/>
  <c r="B131" i="75"/>
  <c r="B134" i="75"/>
  <c r="B148" i="75"/>
  <c r="B147" i="75"/>
  <c r="B20" i="75"/>
  <c r="F133" i="75"/>
  <c r="F131" i="75"/>
  <c r="F134" i="75"/>
  <c r="F148" i="75"/>
  <c r="F20" i="75"/>
  <c r="F147" i="75"/>
  <c r="F62" i="75"/>
  <c r="F48" i="75" s="1"/>
  <c r="J133" i="75"/>
  <c r="J134" i="75"/>
  <c r="J131" i="75"/>
  <c r="J148" i="75"/>
  <c r="J147" i="75"/>
  <c r="J20" i="75"/>
  <c r="H21" i="75"/>
  <c r="B62" i="75"/>
  <c r="B48" i="75" s="1"/>
  <c r="D83" i="75"/>
  <c r="H83" i="75"/>
  <c r="G82" i="75"/>
  <c r="G81" i="75"/>
  <c r="O81" i="75"/>
  <c r="O82" i="75"/>
  <c r="E83" i="75"/>
  <c r="I83" i="75"/>
  <c r="M83" i="75"/>
  <c r="H84" i="75"/>
  <c r="H85" i="75"/>
  <c r="C134" i="75"/>
  <c r="C147" i="75"/>
  <c r="C133" i="75"/>
  <c r="C131" i="75"/>
  <c r="C148" i="75"/>
  <c r="C62" i="75"/>
  <c r="C48" i="75" s="1"/>
  <c r="C21" i="75"/>
  <c r="G134" i="75"/>
  <c r="G133" i="75"/>
  <c r="G62" i="75"/>
  <c r="G48" i="75" s="1"/>
  <c r="G21" i="75"/>
  <c r="K134" i="75"/>
  <c r="K131" i="75"/>
  <c r="K147" i="75"/>
  <c r="K133" i="75"/>
  <c r="K148" i="75"/>
  <c r="K21" i="75"/>
  <c r="O134" i="75"/>
  <c r="O147" i="75"/>
  <c r="O133" i="75"/>
  <c r="O148" i="75"/>
  <c r="O21" i="75"/>
  <c r="I20" i="75"/>
  <c r="B21" i="75"/>
  <c r="J21" i="75"/>
  <c r="N133" i="75"/>
  <c r="N134" i="75"/>
  <c r="N131" i="75"/>
  <c r="N148" i="75"/>
  <c r="N147" i="75"/>
  <c r="L20" i="75"/>
  <c r="N21" i="75"/>
  <c r="L147" i="75"/>
  <c r="L148" i="75"/>
  <c r="L134" i="75"/>
  <c r="L131" i="75"/>
  <c r="L133" i="75"/>
  <c r="N20" i="75"/>
  <c r="I88" i="71" l="1"/>
  <c r="I87" i="71"/>
  <c r="G87" i="71"/>
  <c r="P108" i="68"/>
  <c r="G72" i="68"/>
  <c r="O26" i="75"/>
  <c r="N80" i="75"/>
  <c r="P21" i="75"/>
  <c r="O92" i="75"/>
  <c r="O44" i="75" s="1"/>
  <c r="O91" i="75"/>
  <c r="O43" i="75" s="1"/>
  <c r="O25" i="75"/>
  <c r="O89" i="75" s="1"/>
  <c r="G25" i="75"/>
  <c r="E80" i="75"/>
  <c r="D80" i="75"/>
  <c r="F80" i="75"/>
  <c r="L145" i="75"/>
  <c r="O60" i="75"/>
  <c r="G148" i="75"/>
  <c r="G92" i="75" s="1"/>
  <c r="C145" i="75"/>
  <c r="P133" i="75"/>
  <c r="L80" i="75"/>
  <c r="O80" i="75"/>
  <c r="G80" i="75"/>
  <c r="H145" i="75"/>
  <c r="O93" i="75"/>
  <c r="G26" i="75"/>
  <c r="P85" i="75"/>
  <c r="H50" i="75"/>
  <c r="P50" i="75" s="1"/>
  <c r="M80" i="75"/>
  <c r="J145" i="75"/>
  <c r="F145" i="75"/>
  <c r="P20" i="75"/>
  <c r="P134" i="75"/>
  <c r="M145" i="75"/>
  <c r="I145" i="75"/>
  <c r="N145" i="75"/>
  <c r="O39" i="75"/>
  <c r="J80" i="75"/>
  <c r="B80" i="75"/>
  <c r="K145" i="75"/>
  <c r="G93" i="75"/>
  <c r="G147" i="75"/>
  <c r="G91" i="75" s="1"/>
  <c r="I80" i="75"/>
  <c r="B145" i="75"/>
  <c r="P131" i="75"/>
  <c r="P84" i="75"/>
  <c r="E145" i="75"/>
  <c r="K80" i="75"/>
  <c r="C80" i="75"/>
  <c r="D145" i="75"/>
  <c r="I125" i="64"/>
  <c r="I124" i="64"/>
  <c r="H125" i="64"/>
  <c r="H124" i="64"/>
  <c r="H115" i="64"/>
  <c r="H114" i="64"/>
  <c r="G113" i="64"/>
  <c r="I112" i="64"/>
  <c r="H112" i="64"/>
  <c r="G126" i="64"/>
  <c r="O126" i="64"/>
  <c r="O90" i="75" l="1"/>
  <c r="G39" i="75"/>
  <c r="O45" i="75"/>
  <c r="O59" i="75"/>
  <c r="O58" i="75"/>
  <c r="O61" i="75" s="1"/>
  <c r="G89" i="75"/>
  <c r="G30" i="64"/>
  <c r="G72" i="64"/>
  <c r="P72" i="64" s="1"/>
  <c r="P80" i="75"/>
  <c r="G90" i="75"/>
  <c r="O71" i="64"/>
  <c r="M79" i="75"/>
  <c r="M78" i="75"/>
  <c r="M77" i="75"/>
  <c r="J79" i="75"/>
  <c r="J78" i="75"/>
  <c r="J77" i="75"/>
  <c r="L79" i="75"/>
  <c r="L78" i="75"/>
  <c r="L77" i="75"/>
  <c r="G43" i="75"/>
  <c r="G60" i="75"/>
  <c r="G58" i="75"/>
  <c r="G45" i="75"/>
  <c r="I79" i="75"/>
  <c r="I77" i="75"/>
  <c r="I78" i="75"/>
  <c r="F79" i="75"/>
  <c r="F77" i="75"/>
  <c r="F78" i="75"/>
  <c r="D79" i="75"/>
  <c r="D78" i="75"/>
  <c r="D77" i="75"/>
  <c r="E79" i="75"/>
  <c r="E78" i="75"/>
  <c r="E77" i="75"/>
  <c r="K79" i="75"/>
  <c r="K77" i="75"/>
  <c r="K78" i="75"/>
  <c r="P145" i="75"/>
  <c r="B79" i="75"/>
  <c r="B77" i="75"/>
  <c r="B78" i="75"/>
  <c r="N79" i="75"/>
  <c r="N77" i="75"/>
  <c r="N78" i="75"/>
  <c r="H79" i="75"/>
  <c r="H77" i="75"/>
  <c r="H78" i="75"/>
  <c r="C79" i="75"/>
  <c r="C78" i="75"/>
  <c r="C77" i="75"/>
  <c r="O96" i="75"/>
  <c r="O97" i="75" s="1"/>
  <c r="G44" i="75"/>
  <c r="G59" i="75"/>
  <c r="O95" i="75"/>
  <c r="I126" i="64"/>
  <c r="H126" i="64"/>
  <c r="H32" i="50"/>
  <c r="P79" i="75" l="1"/>
  <c r="P78" i="75"/>
  <c r="O98" i="75"/>
  <c r="O104" i="75" s="1"/>
  <c r="O105" i="75" s="1"/>
  <c r="P77" i="75"/>
  <c r="G61" i="75"/>
  <c r="G95" i="75"/>
  <c r="H131" i="25"/>
  <c r="H132" i="25"/>
  <c r="I131" i="25"/>
  <c r="I132" i="25"/>
  <c r="G133" i="25"/>
  <c r="O133" i="25"/>
  <c r="O107" i="75" l="1"/>
  <c r="O108" i="75" s="1"/>
  <c r="O106" i="75"/>
  <c r="G96" i="75"/>
  <c r="G97" i="75" s="1"/>
  <c r="O46" i="75"/>
  <c r="G122" i="63"/>
  <c r="O122" i="63"/>
  <c r="I121" i="63"/>
  <c r="I120" i="63"/>
  <c r="H121" i="63"/>
  <c r="H120" i="63"/>
  <c r="G109" i="63"/>
  <c r="G27" i="63" s="1"/>
  <c r="G128" i="50"/>
  <c r="G27" i="50" s="1"/>
  <c r="I140" i="50"/>
  <c r="I139" i="50"/>
  <c r="H140" i="50"/>
  <c r="H139" i="50"/>
  <c r="G141" i="50"/>
  <c r="O141" i="50"/>
  <c r="G98" i="75" l="1"/>
  <c r="G104" i="75" s="1"/>
  <c r="G105" i="75" s="1"/>
  <c r="O111" i="75"/>
  <c r="O112" i="75" s="1"/>
  <c r="G145" i="62"/>
  <c r="O145" i="62"/>
  <c r="I144" i="62"/>
  <c r="I143" i="62"/>
  <c r="H144" i="62"/>
  <c r="H143" i="62"/>
  <c r="I136" i="62"/>
  <c r="H136" i="62"/>
  <c r="H135" i="62"/>
  <c r="G131" i="62"/>
  <c r="G30" i="62" s="1"/>
  <c r="G107" i="75" l="1"/>
  <c r="G108" i="75" s="1"/>
  <c r="G106" i="75"/>
  <c r="O114" i="75"/>
  <c r="O115" i="75" s="1"/>
  <c r="O113" i="75"/>
  <c r="G46" i="75"/>
  <c r="I124" i="25"/>
  <c r="H124" i="25"/>
  <c r="H123" i="25"/>
  <c r="G119" i="25"/>
  <c r="G27" i="25" s="1"/>
  <c r="G111" i="75" l="1"/>
  <c r="G112" i="75" s="1"/>
  <c r="G113" i="75" s="1"/>
  <c r="D114" i="25"/>
  <c r="D126" i="62" s="1"/>
  <c r="E114" i="25"/>
  <c r="E126" i="62" s="1"/>
  <c r="G114" i="25"/>
  <c r="G126" i="62" s="1"/>
  <c r="H114" i="25"/>
  <c r="H126" i="62" s="1"/>
  <c r="I114" i="25"/>
  <c r="I126" i="62" s="1"/>
  <c r="J114" i="25"/>
  <c r="J126" i="62" s="1"/>
  <c r="K114" i="25"/>
  <c r="K126" i="62" s="1"/>
  <c r="L114" i="25"/>
  <c r="L126" i="62" s="1"/>
  <c r="M114" i="25"/>
  <c r="M126" i="62" s="1"/>
  <c r="N114" i="25"/>
  <c r="N126" i="62" s="1"/>
  <c r="O114" i="25"/>
  <c r="O126" i="62" s="1"/>
  <c r="B114" i="25"/>
  <c r="B126" i="62" s="1"/>
  <c r="G114" i="75" l="1"/>
  <c r="G115" i="75" s="1"/>
  <c r="H34" i="50"/>
  <c r="D34" i="50"/>
  <c r="P34" i="50" s="1"/>
  <c r="D135" i="62" l="1"/>
  <c r="D123" i="25"/>
  <c r="P83" i="50" l="1"/>
  <c r="P100" i="64" l="1"/>
  <c r="P97" i="64"/>
  <c r="P98" i="64"/>
  <c r="P101" i="64"/>
  <c r="P102" i="64"/>
  <c r="P103" i="64"/>
  <c r="P104" i="64"/>
  <c r="P105" i="64"/>
  <c r="P110" i="64"/>
  <c r="P111" i="64"/>
  <c r="P116" i="64"/>
  <c r="P117" i="64"/>
  <c r="P118" i="64"/>
  <c r="P119" i="64"/>
  <c r="P120" i="64"/>
  <c r="P121" i="64"/>
  <c r="P122" i="64"/>
  <c r="P123" i="64"/>
  <c r="P124" i="64"/>
  <c r="P125" i="64"/>
  <c r="P130" i="64"/>
  <c r="P126" i="63"/>
  <c r="P93" i="63"/>
  <c r="P94" i="63"/>
  <c r="P100" i="63"/>
  <c r="P101" i="63"/>
  <c r="P106" i="63"/>
  <c r="P107" i="63"/>
  <c r="P112" i="63"/>
  <c r="P113" i="63"/>
  <c r="P114" i="63"/>
  <c r="P115" i="63"/>
  <c r="P116" i="63"/>
  <c r="P117" i="63"/>
  <c r="P118" i="63"/>
  <c r="P119" i="63"/>
  <c r="P120" i="63"/>
  <c r="P121" i="63"/>
  <c r="P99" i="64" l="1"/>
  <c r="P131" i="50"/>
  <c r="P132" i="50"/>
  <c r="P133" i="50"/>
  <c r="P134" i="50"/>
  <c r="P135" i="50"/>
  <c r="P136" i="50"/>
  <c r="P137" i="50"/>
  <c r="P138" i="50"/>
  <c r="P139" i="50"/>
  <c r="P140" i="50"/>
  <c r="P145" i="50"/>
  <c r="P134" i="62"/>
  <c r="P136" i="62"/>
  <c r="P137" i="62"/>
  <c r="P138" i="62"/>
  <c r="P139" i="62"/>
  <c r="P140" i="62"/>
  <c r="P141" i="62"/>
  <c r="P142" i="62"/>
  <c r="P143" i="62"/>
  <c r="P144" i="62"/>
  <c r="P151" i="62"/>
  <c r="P137" i="25" l="1"/>
  <c r="P132" i="25"/>
  <c r="P131" i="25"/>
  <c r="P130" i="25"/>
  <c r="P129" i="25"/>
  <c r="P128" i="25"/>
  <c r="P127" i="25"/>
  <c r="P126" i="25"/>
  <c r="P125" i="25"/>
  <c r="P124" i="25"/>
  <c r="P122" i="25"/>
  <c r="D27" i="1" l="1"/>
  <c r="C13" i="75" s="1"/>
  <c r="E27" i="1"/>
  <c r="D13" i="75" s="1"/>
  <c r="F27" i="1"/>
  <c r="E13" i="75" s="1"/>
  <c r="G27" i="1"/>
  <c r="F13" i="75" s="1"/>
  <c r="I27" i="1"/>
  <c r="H13" i="75" s="1"/>
  <c r="J27" i="1"/>
  <c r="I13" i="75" s="1"/>
  <c r="K27" i="1"/>
  <c r="J13" i="75" s="1"/>
  <c r="L27" i="1"/>
  <c r="K13" i="75" s="1"/>
  <c r="M27" i="1"/>
  <c r="L13" i="75" s="1"/>
  <c r="N27" i="1"/>
  <c r="M13" i="75" s="1"/>
  <c r="O27" i="1"/>
  <c r="N13" i="75" s="1"/>
  <c r="C27" i="1"/>
  <c r="B13" i="75" s="1"/>
  <c r="C69" i="25"/>
  <c r="I68" i="62"/>
  <c r="K68" i="62"/>
  <c r="E81" i="75" l="1"/>
  <c r="E37" i="75"/>
  <c r="E49" i="75" s="1"/>
  <c r="E82" i="75"/>
  <c r="E91" i="75"/>
  <c r="E146" i="75"/>
  <c r="E92" i="75"/>
  <c r="B82" i="75"/>
  <c r="B37" i="75"/>
  <c r="B81" i="75"/>
  <c r="B91" i="75"/>
  <c r="B146" i="75"/>
  <c r="B92" i="75"/>
  <c r="K81" i="75"/>
  <c r="K82" i="75"/>
  <c r="K146" i="75"/>
  <c r="K92" i="75"/>
  <c r="K91" i="75"/>
  <c r="N81" i="75"/>
  <c r="N82" i="75"/>
  <c r="N92" i="75"/>
  <c r="N91" i="75"/>
  <c r="N146" i="75"/>
  <c r="M82" i="75"/>
  <c r="M81" i="75"/>
  <c r="M91" i="75"/>
  <c r="M146" i="75"/>
  <c r="M92" i="75"/>
  <c r="I82" i="75"/>
  <c r="I81" i="75"/>
  <c r="I146" i="75"/>
  <c r="D82" i="75"/>
  <c r="D81" i="75"/>
  <c r="D91" i="75"/>
  <c r="D92" i="75"/>
  <c r="D146" i="75"/>
  <c r="F81" i="75"/>
  <c r="F82" i="75"/>
  <c r="F92" i="75"/>
  <c r="F146" i="75"/>
  <c r="F91" i="75"/>
  <c r="J82" i="75"/>
  <c r="J81" i="75"/>
  <c r="J92" i="75"/>
  <c r="J146" i="75"/>
  <c r="J91" i="75"/>
  <c r="L82" i="75"/>
  <c r="L81" i="75"/>
  <c r="L91" i="75"/>
  <c r="L92" i="75"/>
  <c r="L146" i="75"/>
  <c r="H81" i="75"/>
  <c r="H37" i="75"/>
  <c r="H49" i="75" s="1"/>
  <c r="H82" i="75"/>
  <c r="H146" i="75"/>
  <c r="H62" i="75"/>
  <c r="C82" i="75"/>
  <c r="C37" i="75"/>
  <c r="C49" i="75" s="1"/>
  <c r="C81" i="75"/>
  <c r="C91" i="75"/>
  <c r="C146" i="75"/>
  <c r="C92" i="75"/>
  <c r="P68" i="62"/>
  <c r="I53" i="62"/>
  <c r="J53" i="62"/>
  <c r="K53" i="62"/>
  <c r="L53" i="62"/>
  <c r="M53" i="62"/>
  <c r="N53" i="62"/>
  <c r="O53" i="62"/>
  <c r="F58" i="75" l="1"/>
  <c r="F45" i="75"/>
  <c r="F60" i="75"/>
  <c r="F43" i="75"/>
  <c r="N44" i="75"/>
  <c r="N59" i="75"/>
  <c r="K59" i="75"/>
  <c r="K44" i="75"/>
  <c r="B44" i="75"/>
  <c r="B59" i="75"/>
  <c r="P37" i="75"/>
  <c r="E43" i="75"/>
  <c r="E45" i="75"/>
  <c r="E58" i="75"/>
  <c r="E60" i="75"/>
  <c r="C43" i="75"/>
  <c r="C60" i="75"/>
  <c r="C58" i="75"/>
  <c r="C45" i="75"/>
  <c r="H48" i="75"/>
  <c r="P48" i="75" s="1"/>
  <c r="P62" i="75"/>
  <c r="H26" i="75"/>
  <c r="H25" i="75"/>
  <c r="L25" i="75"/>
  <c r="L26" i="75"/>
  <c r="J59" i="75"/>
  <c r="J44" i="75"/>
  <c r="F93" i="75"/>
  <c r="F24" i="75"/>
  <c r="D24" i="75"/>
  <c r="D93" i="75"/>
  <c r="M44" i="75"/>
  <c r="M59" i="75"/>
  <c r="K24" i="75"/>
  <c r="K93" i="75"/>
  <c r="B73" i="75"/>
  <c r="B24" i="75"/>
  <c r="B93" i="75"/>
  <c r="P146" i="75"/>
  <c r="J93" i="75"/>
  <c r="J24" i="75"/>
  <c r="D26" i="75"/>
  <c r="D25" i="75"/>
  <c r="M26" i="75"/>
  <c r="M25" i="75"/>
  <c r="C25" i="75"/>
  <c r="C26" i="75"/>
  <c r="L93" i="75"/>
  <c r="L24" i="75"/>
  <c r="J25" i="75"/>
  <c r="J26" i="75"/>
  <c r="F44" i="75"/>
  <c r="F59" i="75"/>
  <c r="D44" i="75"/>
  <c r="D59" i="75"/>
  <c r="I147" i="75"/>
  <c r="I91" i="75" s="1"/>
  <c r="I24" i="75"/>
  <c r="I148" i="75"/>
  <c r="I92" i="75" s="1"/>
  <c r="I93" i="75"/>
  <c r="M24" i="75"/>
  <c r="M93" i="75"/>
  <c r="N93" i="75"/>
  <c r="N24" i="75"/>
  <c r="N25" i="75"/>
  <c r="N26" i="75"/>
  <c r="B43" i="75"/>
  <c r="B58" i="75"/>
  <c r="B45" i="75"/>
  <c r="B60" i="75"/>
  <c r="E44" i="75"/>
  <c r="E59" i="75"/>
  <c r="C24" i="75"/>
  <c r="C93" i="75"/>
  <c r="L58" i="75"/>
  <c r="L43" i="75"/>
  <c r="L60" i="75"/>
  <c r="L45" i="75"/>
  <c r="F25" i="75"/>
  <c r="F26" i="75"/>
  <c r="H73" i="75"/>
  <c r="H93" i="75"/>
  <c r="H147" i="75"/>
  <c r="H148" i="75"/>
  <c r="H24" i="75"/>
  <c r="C59" i="75"/>
  <c r="C44" i="75"/>
  <c r="P49" i="75"/>
  <c r="L59" i="75"/>
  <c r="L44" i="75"/>
  <c r="J43" i="75"/>
  <c r="J58" i="75"/>
  <c r="J60" i="75"/>
  <c r="J45" i="75"/>
  <c r="D43" i="75"/>
  <c r="D60" i="75"/>
  <c r="D58" i="75"/>
  <c r="D45" i="75"/>
  <c r="I26" i="75"/>
  <c r="I25" i="75"/>
  <c r="M58" i="75"/>
  <c r="M43" i="75"/>
  <c r="M60" i="75"/>
  <c r="M45" i="75"/>
  <c r="N60" i="75"/>
  <c r="N43" i="75"/>
  <c r="N45" i="75"/>
  <c r="N58" i="75"/>
  <c r="K45" i="75"/>
  <c r="K43" i="75"/>
  <c r="K60" i="75"/>
  <c r="K58" i="75"/>
  <c r="K26" i="75"/>
  <c r="K25" i="75"/>
  <c r="B25" i="75"/>
  <c r="B26" i="75"/>
  <c r="E24" i="75"/>
  <c r="E93" i="75"/>
  <c r="E26" i="75"/>
  <c r="E25" i="75"/>
  <c r="N69" i="25"/>
  <c r="N72" i="62" s="1"/>
  <c r="C72" i="62"/>
  <c r="N61" i="75" l="1"/>
  <c r="E90" i="75"/>
  <c r="E96" i="75" s="1"/>
  <c r="E97" i="75" s="1"/>
  <c r="E98" i="75" s="1"/>
  <c r="E39" i="75"/>
  <c r="E89" i="75"/>
  <c r="F61" i="75"/>
  <c r="F95" i="75"/>
  <c r="P26" i="75"/>
  <c r="P148" i="75"/>
  <c r="H92" i="75"/>
  <c r="L95" i="75"/>
  <c r="L61" i="75"/>
  <c r="I59" i="75"/>
  <c r="I44" i="75"/>
  <c r="P93" i="75"/>
  <c r="K89" i="75"/>
  <c r="K90" i="75"/>
  <c r="K39" i="75"/>
  <c r="D90" i="75"/>
  <c r="D39" i="75"/>
  <c r="D89" i="75"/>
  <c r="C90" i="75"/>
  <c r="C89" i="75"/>
  <c r="C39" i="75"/>
  <c r="P25" i="75"/>
  <c r="D95" i="75"/>
  <c r="D61" i="75"/>
  <c r="J61" i="75"/>
  <c r="J95" i="75"/>
  <c r="H91" i="75"/>
  <c r="P147" i="75"/>
  <c r="I90" i="75"/>
  <c r="I96" i="75" s="1"/>
  <c r="I97" i="75" s="1"/>
  <c r="I98" i="75" s="1"/>
  <c r="I39" i="75"/>
  <c r="I89" i="75"/>
  <c r="L39" i="75"/>
  <c r="L89" i="75"/>
  <c r="L90" i="75"/>
  <c r="J39" i="75"/>
  <c r="J90" i="75"/>
  <c r="J89" i="75"/>
  <c r="B89" i="75"/>
  <c r="P24" i="75"/>
  <c r="B90" i="75"/>
  <c r="B39" i="75"/>
  <c r="F39" i="75"/>
  <c r="F89" i="75"/>
  <c r="F90" i="75"/>
  <c r="F96" i="75" s="1"/>
  <c r="F97" i="75" s="1"/>
  <c r="F98" i="75" s="1"/>
  <c r="H39" i="75"/>
  <c r="H90" i="75"/>
  <c r="H96" i="75" s="1"/>
  <c r="H97" i="75" s="1"/>
  <c r="H89" i="75"/>
  <c r="B61" i="75"/>
  <c r="B95" i="75"/>
  <c r="K61" i="75"/>
  <c r="K95" i="75"/>
  <c r="M61" i="75"/>
  <c r="N89" i="75"/>
  <c r="N39" i="75"/>
  <c r="N90" i="75"/>
  <c r="M90" i="75"/>
  <c r="M39" i="75"/>
  <c r="M89" i="75"/>
  <c r="I60" i="75"/>
  <c r="I45" i="75"/>
  <c r="I58" i="75"/>
  <c r="I43" i="75"/>
  <c r="P73" i="75"/>
  <c r="M95" i="75"/>
  <c r="C95" i="75"/>
  <c r="C61" i="75"/>
  <c r="E95" i="75"/>
  <c r="E61" i="75"/>
  <c r="N95" i="75"/>
  <c r="D67" i="1"/>
  <c r="E67" i="1"/>
  <c r="F67" i="1"/>
  <c r="G67" i="1"/>
  <c r="H67" i="1"/>
  <c r="I67" i="1"/>
  <c r="J67" i="1"/>
  <c r="K67" i="1"/>
  <c r="L67" i="1"/>
  <c r="M67" i="1"/>
  <c r="N67" i="1"/>
  <c r="O67" i="1"/>
  <c r="P67" i="1"/>
  <c r="C67" i="1"/>
  <c r="J96" i="75" l="1"/>
  <c r="J97" i="75" s="1"/>
  <c r="L96" i="75"/>
  <c r="L97" i="75" s="1"/>
  <c r="L98" i="75" s="1"/>
  <c r="L46" i="75" s="1"/>
  <c r="H45" i="75"/>
  <c r="P45" i="75" s="1"/>
  <c r="H43" i="75"/>
  <c r="H58" i="75"/>
  <c r="P58" i="75" s="1"/>
  <c r="H60" i="75"/>
  <c r="P60" i="75" s="1"/>
  <c r="P91" i="75"/>
  <c r="C96" i="75"/>
  <c r="C97" i="75" s="1"/>
  <c r="C98" i="75" s="1"/>
  <c r="H59" i="75"/>
  <c r="P59" i="75" s="1"/>
  <c r="H44" i="75"/>
  <c r="P44" i="75" s="1"/>
  <c r="P92" i="75"/>
  <c r="M96" i="75"/>
  <c r="M97" i="75" s="1"/>
  <c r="P89" i="75"/>
  <c r="L104" i="75"/>
  <c r="L105" i="75" s="1"/>
  <c r="K96" i="75"/>
  <c r="K97" i="75" s="1"/>
  <c r="H98" i="75"/>
  <c r="H46" i="75" s="1"/>
  <c r="N96" i="75"/>
  <c r="N97" i="75" s="1"/>
  <c r="N98" i="75" s="1"/>
  <c r="F104" i="75"/>
  <c r="F105" i="75" s="1"/>
  <c r="F46" i="75"/>
  <c r="P39" i="75"/>
  <c r="I104" i="75"/>
  <c r="I105" i="75" s="1"/>
  <c r="I46" i="75"/>
  <c r="I95" i="75"/>
  <c r="I61" i="75"/>
  <c r="B96" i="75"/>
  <c r="P90" i="75"/>
  <c r="J98" i="75"/>
  <c r="J46" i="75" s="1"/>
  <c r="D96" i="75"/>
  <c r="D97" i="75" s="1"/>
  <c r="D98" i="75" s="1"/>
  <c r="E104" i="75"/>
  <c r="E105" i="75" s="1"/>
  <c r="E46" i="75"/>
  <c r="D63" i="1"/>
  <c r="E63" i="1"/>
  <c r="F63" i="1"/>
  <c r="G63" i="1"/>
  <c r="H63" i="1"/>
  <c r="I63" i="1"/>
  <c r="J63" i="1"/>
  <c r="K63" i="1"/>
  <c r="L63" i="1"/>
  <c r="M63" i="1"/>
  <c r="N63" i="1"/>
  <c r="O63" i="1"/>
  <c r="P63" i="1"/>
  <c r="C63" i="1"/>
  <c r="H104" i="75" l="1"/>
  <c r="H105" i="75" s="1"/>
  <c r="H107" i="75" s="1"/>
  <c r="H108" i="75" s="1"/>
  <c r="B97" i="75"/>
  <c r="P96" i="75"/>
  <c r="H106" i="75"/>
  <c r="J104" i="75"/>
  <c r="J105" i="75" s="1"/>
  <c r="I107" i="75"/>
  <c r="I108" i="75" s="1"/>
  <c r="I106" i="75"/>
  <c r="I30" i="75" s="1"/>
  <c r="K98" i="75"/>
  <c r="K46" i="75" s="1"/>
  <c r="M98" i="75"/>
  <c r="M46" i="75" s="1"/>
  <c r="C104" i="75"/>
  <c r="C105" i="75" s="1"/>
  <c r="C46" i="75"/>
  <c r="H61" i="75"/>
  <c r="P61" i="75" s="1"/>
  <c r="H95" i="75"/>
  <c r="P95" i="75" s="1"/>
  <c r="P43" i="75"/>
  <c r="N104" i="75"/>
  <c r="N105" i="75" s="1"/>
  <c r="N46" i="75"/>
  <c r="D104" i="75"/>
  <c r="D105" i="75" s="1"/>
  <c r="D46" i="75"/>
  <c r="F106" i="75"/>
  <c r="F107" i="75"/>
  <c r="F108" i="75" s="1"/>
  <c r="E106" i="75"/>
  <c r="E30" i="75" s="1"/>
  <c r="E107" i="75"/>
  <c r="E108" i="75" s="1"/>
  <c r="L106" i="75"/>
  <c r="L107" i="75"/>
  <c r="L108" i="75" s="1"/>
  <c r="C13" i="25"/>
  <c r="E111" i="75" l="1"/>
  <c r="E112" i="75" s="1"/>
  <c r="L111" i="75"/>
  <c r="L112" i="75" s="1"/>
  <c r="L113" i="75" s="1"/>
  <c r="N107" i="75"/>
  <c r="N108" i="75" s="1"/>
  <c r="N106" i="75"/>
  <c r="K104" i="75"/>
  <c r="K105" i="75" s="1"/>
  <c r="E114" i="75"/>
  <c r="E115" i="75" s="1"/>
  <c r="E113" i="75"/>
  <c r="J107" i="75"/>
  <c r="J108" i="75" s="1"/>
  <c r="J106" i="75"/>
  <c r="C107" i="75"/>
  <c r="C108" i="75" s="1"/>
  <c r="C106" i="75"/>
  <c r="F111" i="75"/>
  <c r="F112" i="75" s="1"/>
  <c r="D106" i="75"/>
  <c r="D107" i="75"/>
  <c r="D108" i="75" s="1"/>
  <c r="M104" i="75"/>
  <c r="M105" i="75" s="1"/>
  <c r="I111" i="75"/>
  <c r="I112" i="75" s="1"/>
  <c r="H111" i="75"/>
  <c r="H112" i="75" s="1"/>
  <c r="P97" i="75"/>
  <c r="B98" i="75"/>
  <c r="I65" i="25"/>
  <c r="I39" i="25"/>
  <c r="H39" i="25"/>
  <c r="L114" i="75" l="1"/>
  <c r="L115" i="75" s="1"/>
  <c r="J111" i="75"/>
  <c r="J112" i="75" s="1"/>
  <c r="J114" i="75" s="1"/>
  <c r="J115" i="75" s="1"/>
  <c r="N111" i="75"/>
  <c r="N112" i="75" s="1"/>
  <c r="N113" i="75" s="1"/>
  <c r="I114" i="75"/>
  <c r="I115" i="75" s="1"/>
  <c r="I113" i="75"/>
  <c r="B104" i="75"/>
  <c r="P98" i="75"/>
  <c r="B46" i="75"/>
  <c r="P46" i="75" s="1"/>
  <c r="D111" i="75"/>
  <c r="D112" i="75" s="1"/>
  <c r="C111" i="75"/>
  <c r="C112" i="75" s="1"/>
  <c r="K107" i="75"/>
  <c r="K108" i="75" s="1"/>
  <c r="K106" i="75"/>
  <c r="K30" i="75" s="1"/>
  <c r="M106" i="75"/>
  <c r="M107" i="75"/>
  <c r="M108" i="75" s="1"/>
  <c r="F114" i="75"/>
  <c r="F115" i="75" s="1"/>
  <c r="F113" i="75"/>
  <c r="H114" i="75"/>
  <c r="H115" i="75" s="1"/>
  <c r="H113" i="75"/>
  <c r="C49" i="74"/>
  <c r="F49" i="74"/>
  <c r="G49" i="74"/>
  <c r="H49" i="74"/>
  <c r="I49" i="74"/>
  <c r="J49" i="74"/>
  <c r="K49" i="74"/>
  <c r="C52" i="73"/>
  <c r="F52" i="73"/>
  <c r="H52" i="73"/>
  <c r="I52" i="73"/>
  <c r="J52" i="73"/>
  <c r="K52" i="73"/>
  <c r="L52" i="73"/>
  <c r="D52" i="72"/>
  <c r="G52" i="72"/>
  <c r="I52" i="72"/>
  <c r="J52" i="72"/>
  <c r="K52" i="72"/>
  <c r="L52" i="72"/>
  <c r="M52" i="72"/>
  <c r="N52" i="72"/>
  <c r="O52" i="72"/>
  <c r="I63" i="71"/>
  <c r="J63" i="71"/>
  <c r="K63" i="71"/>
  <c r="L63" i="71"/>
  <c r="M63" i="71"/>
  <c r="N63" i="71"/>
  <c r="O63" i="71"/>
  <c r="I41" i="63"/>
  <c r="J41" i="63"/>
  <c r="K41" i="63"/>
  <c r="L41" i="63"/>
  <c r="M41" i="63"/>
  <c r="N41" i="63"/>
  <c r="O41" i="63"/>
  <c r="D52" i="50"/>
  <c r="I52" i="50"/>
  <c r="J52" i="50"/>
  <c r="K52" i="50"/>
  <c r="L52" i="50"/>
  <c r="M52" i="50"/>
  <c r="N52" i="50"/>
  <c r="O52" i="50"/>
  <c r="D55" i="62"/>
  <c r="G55" i="62"/>
  <c r="I55" i="62"/>
  <c r="J55" i="62"/>
  <c r="K55" i="62"/>
  <c r="L55" i="62"/>
  <c r="M55" i="62"/>
  <c r="N55" i="62"/>
  <c r="O55" i="62"/>
  <c r="C135" i="62"/>
  <c r="B135" i="62"/>
  <c r="C123" i="25"/>
  <c r="B123" i="25"/>
  <c r="N114" i="75" l="1"/>
  <c r="N115" i="75" s="1"/>
  <c r="J113" i="75"/>
  <c r="C114" i="75"/>
  <c r="C115" i="75" s="1"/>
  <c r="C113" i="75"/>
  <c r="K111" i="75"/>
  <c r="K112" i="75" s="1"/>
  <c r="D113" i="75"/>
  <c r="D114" i="75"/>
  <c r="D115" i="75" s="1"/>
  <c r="B105" i="75"/>
  <c r="P104" i="75"/>
  <c r="M111" i="75"/>
  <c r="M112" i="75" s="1"/>
  <c r="P135" i="62"/>
  <c r="P123" i="25"/>
  <c r="D52" i="25"/>
  <c r="I52" i="25"/>
  <c r="J52" i="25"/>
  <c r="K52" i="25"/>
  <c r="L52" i="25"/>
  <c r="M52" i="25"/>
  <c r="N52" i="25"/>
  <c r="O52" i="25"/>
  <c r="K113" i="75" l="1"/>
  <c r="K114" i="75"/>
  <c r="K115" i="75" s="1"/>
  <c r="P105" i="75"/>
  <c r="B107" i="75"/>
  <c r="B106" i="75"/>
  <c r="M114" i="75"/>
  <c r="M115" i="75" s="1"/>
  <c r="M113" i="75"/>
  <c r="G18" i="74"/>
  <c r="G15" i="74"/>
  <c r="B108" i="75" l="1"/>
  <c r="P108" i="75" s="1"/>
  <c r="P107" i="75"/>
  <c r="P106" i="75"/>
  <c r="B30" i="75"/>
  <c r="P30" i="75" s="1"/>
  <c r="Z54" i="74"/>
  <c r="O79" i="66"/>
  <c r="P79" i="66" s="1"/>
  <c r="I90" i="74"/>
  <c r="I76" i="74"/>
  <c r="J82" i="73"/>
  <c r="I22" i="73"/>
  <c r="F22" i="73"/>
  <c r="C17" i="70"/>
  <c r="C124" i="70" s="1"/>
  <c r="E17" i="70"/>
  <c r="F17" i="70"/>
  <c r="G17" i="70"/>
  <c r="H17" i="70"/>
  <c r="I17" i="70"/>
  <c r="J17" i="70"/>
  <c r="K17" i="70"/>
  <c r="L17" i="70"/>
  <c r="M17" i="70"/>
  <c r="N17" i="70"/>
  <c r="O17" i="70"/>
  <c r="B17" i="70"/>
  <c r="B124" i="70" s="1"/>
  <c r="B111" i="75" l="1"/>
  <c r="P111" i="75" s="1"/>
  <c r="B112" i="75"/>
  <c r="H124" i="70"/>
  <c r="H125" i="70"/>
  <c r="H58" i="70" s="1"/>
  <c r="I58" i="74"/>
  <c r="I43" i="74"/>
  <c r="I44" i="74"/>
  <c r="I45" i="74"/>
  <c r="I57" i="74"/>
  <c r="I56" i="74"/>
  <c r="D21" i="73"/>
  <c r="D20" i="73"/>
  <c r="D18" i="73"/>
  <c r="D16" i="73"/>
  <c r="P112" i="75" l="1"/>
  <c r="B114" i="75"/>
  <c r="B113" i="75"/>
  <c r="P113" i="75" s="1"/>
  <c r="D132" i="72"/>
  <c r="D131" i="72"/>
  <c r="D129" i="72"/>
  <c r="B115" i="75" l="1"/>
  <c r="P115" i="75" s="1"/>
  <c r="P114" i="75"/>
  <c r="C98" i="67"/>
  <c r="D98" i="67"/>
  <c r="E98" i="67"/>
  <c r="F98" i="67"/>
  <c r="G98" i="67"/>
  <c r="H98" i="67"/>
  <c r="I98" i="67"/>
  <c r="J98" i="67"/>
  <c r="K98" i="67"/>
  <c r="L98" i="67"/>
  <c r="M98" i="67"/>
  <c r="O98" i="67"/>
  <c r="B98" i="67"/>
  <c r="C184" i="71"/>
  <c r="C82" i="71" s="1"/>
  <c r="D184" i="71"/>
  <c r="O61" i="50"/>
  <c r="D122" i="71"/>
  <c r="P122" i="71" s="1"/>
  <c r="E41" i="71"/>
  <c r="E182" i="70"/>
  <c r="E184" i="71" s="1"/>
  <c r="E82" i="71" s="1"/>
  <c r="C98" i="70"/>
  <c r="D33" i="67"/>
  <c r="P33" i="67" s="1"/>
  <c r="D20" i="66"/>
  <c r="D17" i="66"/>
  <c r="E105" i="1" l="1"/>
  <c r="E101" i="1"/>
  <c r="D119" i="62"/>
  <c r="D116" i="50" s="1"/>
  <c r="D120" i="75" s="1"/>
  <c r="E119" i="62"/>
  <c r="E116" i="50" s="1"/>
  <c r="E120" i="75" s="1"/>
  <c r="F119" i="62"/>
  <c r="F116" i="50" s="1"/>
  <c r="F120" i="75" s="1"/>
  <c r="G119" i="62"/>
  <c r="G116" i="50" s="1"/>
  <c r="G120" i="75" s="1"/>
  <c r="H119" i="62"/>
  <c r="H116" i="50" s="1"/>
  <c r="H120" i="75" s="1"/>
  <c r="I119" i="62"/>
  <c r="I116" i="50" s="1"/>
  <c r="I120" i="75" s="1"/>
  <c r="J119" i="62"/>
  <c r="J116" i="50" s="1"/>
  <c r="J120" i="75" s="1"/>
  <c r="K119" i="62"/>
  <c r="K116" i="50" s="1"/>
  <c r="K120" i="75" s="1"/>
  <c r="L119" i="62"/>
  <c r="L116" i="50" s="1"/>
  <c r="L120" i="75" s="1"/>
  <c r="M119" i="62"/>
  <c r="M116" i="50" s="1"/>
  <c r="M120" i="75" s="1"/>
  <c r="N119" i="62"/>
  <c r="N116" i="50" s="1"/>
  <c r="N120" i="75" s="1"/>
  <c r="O119" i="62"/>
  <c r="O116" i="50" s="1"/>
  <c r="O120" i="75" s="1"/>
  <c r="C120" i="62"/>
  <c r="C117" i="50" s="1"/>
  <c r="D120" i="62"/>
  <c r="D117" i="50" s="1"/>
  <c r="E120" i="62"/>
  <c r="E117" i="50" s="1"/>
  <c r="F120" i="62"/>
  <c r="F117" i="50" s="1"/>
  <c r="G120" i="62"/>
  <c r="G117" i="50" s="1"/>
  <c r="H120" i="62"/>
  <c r="H117" i="50" s="1"/>
  <c r="I120" i="62"/>
  <c r="I117" i="50" s="1"/>
  <c r="J120" i="62"/>
  <c r="J117" i="50" s="1"/>
  <c r="K120" i="62"/>
  <c r="K117" i="50" s="1"/>
  <c r="L120" i="62"/>
  <c r="L117" i="50" s="1"/>
  <c r="M120" i="62"/>
  <c r="M117" i="50" s="1"/>
  <c r="N120" i="62"/>
  <c r="N117" i="50" s="1"/>
  <c r="O120" i="62"/>
  <c r="O117" i="50" s="1"/>
  <c r="C121" i="62"/>
  <c r="C118" i="50" s="1"/>
  <c r="D121" i="62"/>
  <c r="D118" i="50" s="1"/>
  <c r="E121" i="62"/>
  <c r="E118" i="50" s="1"/>
  <c r="F121" i="62"/>
  <c r="F118" i="50" s="1"/>
  <c r="G121" i="62"/>
  <c r="G118" i="50" s="1"/>
  <c r="H121" i="62"/>
  <c r="H118" i="50" s="1"/>
  <c r="I121" i="62"/>
  <c r="I118" i="50" s="1"/>
  <c r="J121" i="62"/>
  <c r="J118" i="50" s="1"/>
  <c r="K121" i="62"/>
  <c r="K118" i="50" s="1"/>
  <c r="L121" i="62"/>
  <c r="L118" i="50" s="1"/>
  <c r="M121" i="62"/>
  <c r="M118" i="50" s="1"/>
  <c r="N121" i="62"/>
  <c r="N118" i="50" s="1"/>
  <c r="O121" i="62"/>
  <c r="O118" i="50" s="1"/>
  <c r="B119" i="62"/>
  <c r="B120" i="62"/>
  <c r="B121" i="62"/>
  <c r="O99" i="63" l="1"/>
  <c r="O122" i="75"/>
  <c r="G99" i="63"/>
  <c r="G122" i="75"/>
  <c r="L98" i="63"/>
  <c r="L121" i="75"/>
  <c r="M71" i="75"/>
  <c r="E71" i="75"/>
  <c r="N99" i="63"/>
  <c r="N122" i="75"/>
  <c r="F99" i="63"/>
  <c r="F122" i="75"/>
  <c r="K98" i="63"/>
  <c r="K121" i="75"/>
  <c r="L71" i="75"/>
  <c r="D71" i="75"/>
  <c r="M99" i="63"/>
  <c r="M122" i="75"/>
  <c r="I99" i="63"/>
  <c r="I122" i="75"/>
  <c r="E99" i="63"/>
  <c r="E122" i="75"/>
  <c r="N98" i="63"/>
  <c r="N121" i="75"/>
  <c r="N71" i="75" s="1"/>
  <c r="J98" i="63"/>
  <c r="J121" i="75"/>
  <c r="F98" i="63"/>
  <c r="F121" i="75"/>
  <c r="K71" i="75"/>
  <c r="G71" i="75"/>
  <c r="K99" i="63"/>
  <c r="K122" i="75"/>
  <c r="C99" i="63"/>
  <c r="C122" i="75"/>
  <c r="H98" i="63"/>
  <c r="H121" i="75"/>
  <c r="D98" i="63"/>
  <c r="D121" i="75"/>
  <c r="I71" i="75"/>
  <c r="J99" i="63"/>
  <c r="J122" i="75"/>
  <c r="O98" i="63"/>
  <c r="O121" i="75"/>
  <c r="O71" i="75" s="1"/>
  <c r="G98" i="63"/>
  <c r="G121" i="75"/>
  <c r="C98" i="63"/>
  <c r="C121" i="75"/>
  <c r="H71" i="75"/>
  <c r="L99" i="63"/>
  <c r="L122" i="75"/>
  <c r="H99" i="63"/>
  <c r="H122" i="75"/>
  <c r="D99" i="63"/>
  <c r="D122" i="75"/>
  <c r="M98" i="63"/>
  <c r="M121" i="75"/>
  <c r="I98" i="63"/>
  <c r="I121" i="75"/>
  <c r="E98" i="63"/>
  <c r="E121" i="75"/>
  <c r="J71" i="75"/>
  <c r="F71" i="75"/>
  <c r="M97" i="63"/>
  <c r="L97" i="63"/>
  <c r="D97" i="63"/>
  <c r="O97" i="63"/>
  <c r="K97" i="63"/>
  <c r="G97" i="63"/>
  <c r="I97" i="63"/>
  <c r="E97" i="63"/>
  <c r="H97" i="63"/>
  <c r="N97" i="63"/>
  <c r="J97" i="63"/>
  <c r="F97" i="63"/>
  <c r="B118" i="50"/>
  <c r="P121" i="62"/>
  <c r="B117" i="50"/>
  <c r="P120" i="62"/>
  <c r="B116" i="50"/>
  <c r="B120" i="75" s="1"/>
  <c r="C145" i="72"/>
  <c r="C67" i="72" s="1"/>
  <c r="F184" i="71"/>
  <c r="G184" i="71"/>
  <c r="I184" i="71"/>
  <c r="J184" i="71"/>
  <c r="K184" i="71"/>
  <c r="L184" i="71"/>
  <c r="M184" i="71"/>
  <c r="N184" i="71"/>
  <c r="N82" i="71" s="1"/>
  <c r="O184" i="71"/>
  <c r="E77" i="70"/>
  <c r="F77" i="70"/>
  <c r="N77" i="70"/>
  <c r="B98" i="63" l="1"/>
  <c r="P98" i="63" s="1"/>
  <c r="B121" i="75"/>
  <c r="P121" i="75" s="1"/>
  <c r="B71" i="75"/>
  <c r="B99" i="63"/>
  <c r="P99" i="63" s="1"/>
  <c r="B122" i="75"/>
  <c r="P122" i="75" s="1"/>
  <c r="B97" i="63"/>
  <c r="P118" i="50"/>
  <c r="P117" i="50"/>
  <c r="C77" i="50"/>
  <c r="C67" i="75" s="1"/>
  <c r="C74" i="75" s="1"/>
  <c r="N77" i="50"/>
  <c r="N67" i="75" s="1"/>
  <c r="N74" i="75" s="1"/>
  <c r="L145" i="72"/>
  <c r="L67" i="72" s="1"/>
  <c r="J66" i="73" s="1"/>
  <c r="J64" i="74" s="1"/>
  <c r="G145" i="72"/>
  <c r="O145" i="72"/>
  <c r="K145" i="72"/>
  <c r="K67" i="72" s="1"/>
  <c r="I66" i="73" s="1"/>
  <c r="I64" i="74" s="1"/>
  <c r="I145" i="72"/>
  <c r="I67" i="72" s="1"/>
  <c r="G66" i="73" s="1"/>
  <c r="G64" i="74" s="1"/>
  <c r="I82" i="71"/>
  <c r="E145" i="72"/>
  <c r="E67" i="72" s="1"/>
  <c r="D66" i="73" s="1"/>
  <c r="D64" i="74" s="1"/>
  <c r="M145" i="72"/>
  <c r="N145" i="72"/>
  <c r="N67" i="72" s="1"/>
  <c r="J145" i="72"/>
  <c r="F145" i="72"/>
  <c r="F67" i="72" s="1"/>
  <c r="E66" i="73" s="1"/>
  <c r="E64" i="74" s="1"/>
  <c r="N60" i="63" l="1"/>
  <c r="C60" i="63"/>
  <c r="E9" i="41"/>
  <c r="D12" i="41" l="1"/>
  <c r="F9" i="41"/>
  <c r="C61" i="64"/>
  <c r="C73" i="66" s="1"/>
  <c r="C69" i="67" s="1"/>
  <c r="N61" i="64"/>
  <c r="N73" i="66" s="1"/>
  <c r="N69" i="67" s="1"/>
  <c r="E12" i="41"/>
  <c r="D15" i="41" s="1"/>
  <c r="N66" i="68" l="1"/>
  <c r="C66" i="68"/>
  <c r="F12" i="41"/>
  <c r="E15" i="41"/>
  <c r="D18" i="41" s="1"/>
  <c r="F15" i="41" l="1"/>
  <c r="E18" i="41"/>
  <c r="D21" i="41" s="1"/>
  <c r="F18" i="41" l="1"/>
  <c r="E21" i="41"/>
  <c r="D24" i="41" s="1"/>
  <c r="F21" i="41" l="1"/>
  <c r="E24" i="41"/>
  <c r="D27" i="41" s="1"/>
  <c r="F24" i="41" l="1"/>
  <c r="E27" i="41"/>
  <c r="D30" i="41" s="1"/>
  <c r="F27" i="41" l="1"/>
  <c r="E30" i="41"/>
  <c r="D33" i="41" s="1"/>
  <c r="F30" i="41" l="1"/>
  <c r="E33" i="41"/>
  <c r="D36" i="41" s="1"/>
  <c r="F33" i="41" l="1"/>
  <c r="E36" i="41"/>
  <c r="D39" i="41" s="1"/>
  <c r="E39" i="41" l="1"/>
  <c r="D42" i="41" s="1"/>
  <c r="F36" i="41"/>
  <c r="F39" i="41" l="1"/>
  <c r="E42" i="41"/>
  <c r="D45" i="41" s="1"/>
  <c r="F45" i="41" s="1"/>
  <c r="F42" i="41" l="1"/>
  <c r="G105" i="1" l="1"/>
  <c r="H105" i="1"/>
  <c r="J105" i="1"/>
  <c r="K105" i="1"/>
  <c r="L105" i="1"/>
  <c r="M105" i="1"/>
  <c r="N105" i="1"/>
  <c r="P105" i="1"/>
  <c r="G101" i="1"/>
  <c r="H101" i="1"/>
  <c r="J101" i="1"/>
  <c r="K101" i="1"/>
  <c r="L101" i="1"/>
  <c r="M101" i="1"/>
  <c r="N101" i="1"/>
  <c r="P101" i="1"/>
  <c r="C105" i="1"/>
  <c r="C101" i="1"/>
  <c r="K115" i="74"/>
  <c r="J115" i="74"/>
  <c r="I115" i="74"/>
  <c r="H115" i="74"/>
  <c r="G115" i="74"/>
  <c r="F115" i="74"/>
  <c r="E115" i="74"/>
  <c r="D115" i="74"/>
  <c r="C115" i="74"/>
  <c r="B115" i="74"/>
  <c r="Z53" i="73"/>
  <c r="E79" i="73" s="1"/>
  <c r="L115" i="74" l="1"/>
  <c r="K128" i="74"/>
  <c r="K127" i="74"/>
  <c r="L66" i="74"/>
  <c r="F86" i="74"/>
  <c r="F85" i="74"/>
  <c r="K32" i="74"/>
  <c r="E32" i="74"/>
  <c r="K22" i="74"/>
  <c r="J22" i="74"/>
  <c r="I22" i="74"/>
  <c r="H22" i="74"/>
  <c r="G22" i="74"/>
  <c r="F22" i="74"/>
  <c r="E22" i="74"/>
  <c r="D22" i="74"/>
  <c r="C22" i="74"/>
  <c r="B22" i="74"/>
  <c r="K20" i="74"/>
  <c r="J20" i="74"/>
  <c r="H20" i="74"/>
  <c r="G20" i="74"/>
  <c r="F20" i="74"/>
  <c r="E20" i="74"/>
  <c r="D20" i="74"/>
  <c r="C20" i="74"/>
  <c r="B20" i="74"/>
  <c r="I19" i="74"/>
  <c r="H19" i="74"/>
  <c r="F19" i="74"/>
  <c r="D19" i="74"/>
  <c r="B19" i="74"/>
  <c r="K18" i="74"/>
  <c r="J18" i="74"/>
  <c r="I18" i="74"/>
  <c r="H18" i="74"/>
  <c r="F18" i="74"/>
  <c r="E18" i="74"/>
  <c r="E84" i="74" s="1"/>
  <c r="E49" i="74" s="1"/>
  <c r="D18" i="74"/>
  <c r="C18" i="74"/>
  <c r="B18" i="74"/>
  <c r="K17" i="74"/>
  <c r="K82" i="74" s="1"/>
  <c r="J17" i="74"/>
  <c r="J82" i="74" s="1"/>
  <c r="I17" i="74"/>
  <c r="H17" i="74"/>
  <c r="H82" i="74" s="1"/>
  <c r="G17" i="74"/>
  <c r="G82" i="74" s="1"/>
  <c r="F17" i="74"/>
  <c r="F82" i="74" s="1"/>
  <c r="E17" i="74"/>
  <c r="E82" i="74" s="1"/>
  <c r="D17" i="74"/>
  <c r="D82" i="74" s="1"/>
  <c r="C17" i="74"/>
  <c r="C82" i="74" s="1"/>
  <c r="B17" i="74"/>
  <c r="B82" i="74" s="1"/>
  <c r="K15" i="74"/>
  <c r="K81" i="74" s="1"/>
  <c r="J15" i="74"/>
  <c r="J81" i="74" s="1"/>
  <c r="I15" i="74"/>
  <c r="I81" i="74" s="1"/>
  <c r="H15" i="74"/>
  <c r="G81" i="74"/>
  <c r="F15" i="74"/>
  <c r="F81" i="74" s="1"/>
  <c r="E15" i="74"/>
  <c r="D15" i="74"/>
  <c r="D81" i="74" s="1"/>
  <c r="C15" i="74"/>
  <c r="B15" i="74"/>
  <c r="B81" i="74" s="1"/>
  <c r="K14" i="74"/>
  <c r="J14" i="74"/>
  <c r="I14" i="74"/>
  <c r="I77" i="74" s="1"/>
  <c r="H14" i="74"/>
  <c r="G14" i="74"/>
  <c r="F14" i="74"/>
  <c r="E14" i="74"/>
  <c r="D14" i="74"/>
  <c r="C14" i="74"/>
  <c r="B14" i="74"/>
  <c r="K13" i="74"/>
  <c r="J13" i="74"/>
  <c r="I13" i="74"/>
  <c r="H13" i="74"/>
  <c r="G13" i="74"/>
  <c r="F13" i="74"/>
  <c r="E13" i="74"/>
  <c r="D13" i="74"/>
  <c r="C13" i="74"/>
  <c r="B13" i="74"/>
  <c r="K12" i="74"/>
  <c r="J12" i="74"/>
  <c r="I12" i="74"/>
  <c r="H12" i="74"/>
  <c r="G12" i="74"/>
  <c r="F12" i="74"/>
  <c r="E12" i="74"/>
  <c r="D12" i="74"/>
  <c r="C12" i="74"/>
  <c r="B12" i="74"/>
  <c r="K8" i="74"/>
  <c r="J8" i="74"/>
  <c r="I8" i="74"/>
  <c r="H8" i="74"/>
  <c r="G8" i="74"/>
  <c r="F8" i="74"/>
  <c r="E8" i="74"/>
  <c r="D8" i="74"/>
  <c r="C8" i="74"/>
  <c r="B8" i="74"/>
  <c r="C19" i="73"/>
  <c r="E19" i="73"/>
  <c r="E92" i="73" s="1"/>
  <c r="E52" i="73" s="1"/>
  <c r="F19" i="73"/>
  <c r="G19" i="73"/>
  <c r="H19" i="73"/>
  <c r="I19" i="73"/>
  <c r="J19" i="73"/>
  <c r="K19" i="73"/>
  <c r="L19" i="73"/>
  <c r="B19" i="73"/>
  <c r="C15" i="73"/>
  <c r="C88" i="73" s="1"/>
  <c r="D88" i="73"/>
  <c r="E15" i="73"/>
  <c r="F15" i="73"/>
  <c r="G15" i="73"/>
  <c r="G88" i="73" s="1"/>
  <c r="H15" i="73"/>
  <c r="H88" i="73" s="1"/>
  <c r="I15" i="73"/>
  <c r="J15" i="73"/>
  <c r="J88" i="73" s="1"/>
  <c r="K15" i="73"/>
  <c r="K88" i="73" s="1"/>
  <c r="L15" i="73"/>
  <c r="B15" i="73"/>
  <c r="B88" i="73" s="1"/>
  <c r="L129" i="73"/>
  <c r="L128" i="73"/>
  <c r="M68" i="73"/>
  <c r="G95" i="73"/>
  <c r="G94" i="73"/>
  <c r="L32" i="73"/>
  <c r="F32" i="73"/>
  <c r="L24" i="73"/>
  <c r="K24" i="73"/>
  <c r="J24" i="73"/>
  <c r="I24" i="73"/>
  <c r="H24" i="73"/>
  <c r="G24" i="73"/>
  <c r="F24" i="73"/>
  <c r="E24" i="73"/>
  <c r="D24" i="73"/>
  <c r="C24" i="73"/>
  <c r="B24" i="73"/>
  <c r="L22" i="73"/>
  <c r="K22" i="73"/>
  <c r="H22" i="73"/>
  <c r="G22" i="73"/>
  <c r="E22" i="73"/>
  <c r="D22" i="73"/>
  <c r="D140" i="73" s="1"/>
  <c r="C22" i="73"/>
  <c r="B22" i="73"/>
  <c r="J21" i="73"/>
  <c r="I21" i="73"/>
  <c r="G21" i="73"/>
  <c r="E21" i="73"/>
  <c r="B21" i="73"/>
  <c r="L18" i="73"/>
  <c r="L89" i="73" s="1"/>
  <c r="K18" i="73"/>
  <c r="K89" i="73" s="1"/>
  <c r="J18" i="73"/>
  <c r="I18" i="73"/>
  <c r="H18" i="73"/>
  <c r="H89" i="73" s="1"/>
  <c r="G18" i="73"/>
  <c r="G89" i="73" s="1"/>
  <c r="F18" i="73"/>
  <c r="F89" i="73" s="1"/>
  <c r="E18" i="73"/>
  <c r="E89" i="73" s="1"/>
  <c r="D89" i="73"/>
  <c r="C18" i="73"/>
  <c r="B18" i="73"/>
  <c r="B89" i="73" s="1"/>
  <c r="L14" i="73"/>
  <c r="K14" i="73"/>
  <c r="J14" i="73"/>
  <c r="J83" i="73" s="1"/>
  <c r="I14" i="73"/>
  <c r="I83" i="73" s="1"/>
  <c r="H14" i="73"/>
  <c r="G14" i="73"/>
  <c r="F14" i="73"/>
  <c r="E14" i="73"/>
  <c r="D14" i="73"/>
  <c r="C14" i="73"/>
  <c r="B14" i="73"/>
  <c r="L13" i="73"/>
  <c r="K13" i="73"/>
  <c r="J13" i="73"/>
  <c r="I13" i="73"/>
  <c r="H13" i="73"/>
  <c r="G13" i="73"/>
  <c r="F13" i="73"/>
  <c r="E13" i="73"/>
  <c r="D13" i="73"/>
  <c r="C13" i="73"/>
  <c r="B13" i="73"/>
  <c r="L12" i="73"/>
  <c r="K12" i="73"/>
  <c r="J12" i="73"/>
  <c r="I12" i="73"/>
  <c r="H12" i="73"/>
  <c r="G12" i="73"/>
  <c r="F12" i="73"/>
  <c r="E12" i="73"/>
  <c r="C12" i="73"/>
  <c r="B12" i="73"/>
  <c r="L8" i="73"/>
  <c r="K8" i="73"/>
  <c r="J8" i="73"/>
  <c r="I8" i="73"/>
  <c r="H8" i="73"/>
  <c r="G8" i="73"/>
  <c r="F8" i="73"/>
  <c r="E8" i="73"/>
  <c r="D8" i="73"/>
  <c r="C8" i="73"/>
  <c r="B8" i="73"/>
  <c r="D62" i="74" l="1"/>
  <c r="D139" i="74"/>
  <c r="H139" i="74"/>
  <c r="E62" i="74"/>
  <c r="E121" i="74"/>
  <c r="E139" i="74"/>
  <c r="B139" i="74"/>
  <c r="F62" i="74"/>
  <c r="J62" i="74"/>
  <c r="C62" i="74"/>
  <c r="C139" i="74"/>
  <c r="G139" i="74"/>
  <c r="K62" i="74"/>
  <c r="K121" i="74"/>
  <c r="G52" i="73"/>
  <c r="B140" i="73"/>
  <c r="C140" i="73"/>
  <c r="L140" i="73"/>
  <c r="L123" i="73"/>
  <c r="F140" i="73"/>
  <c r="F123" i="73"/>
  <c r="H140" i="73"/>
  <c r="E140" i="73"/>
  <c r="I140" i="73"/>
  <c r="K140" i="73"/>
  <c r="I62" i="74"/>
  <c r="B62" i="74"/>
  <c r="I82" i="74"/>
  <c r="L82" i="74" s="1"/>
  <c r="I78" i="74"/>
  <c r="J89" i="73"/>
  <c r="J84" i="73"/>
  <c r="J85" i="73"/>
  <c r="I82" i="73"/>
  <c r="I84" i="73"/>
  <c r="I85" i="73"/>
  <c r="I89" i="73"/>
  <c r="L17" i="73"/>
  <c r="L99" i="73" s="1"/>
  <c r="L88" i="73"/>
  <c r="E17" i="73"/>
  <c r="E99" i="73" s="1"/>
  <c r="E88" i="73"/>
  <c r="I17" i="73"/>
  <c r="I88" i="73"/>
  <c r="D92" i="73"/>
  <c r="D52" i="73" s="1"/>
  <c r="F17" i="73"/>
  <c r="F88" i="73"/>
  <c r="E118" i="74"/>
  <c r="E119" i="74"/>
  <c r="C16" i="74"/>
  <c r="C90" i="74" s="1"/>
  <c r="C81" i="74"/>
  <c r="B119" i="74"/>
  <c r="B118" i="74"/>
  <c r="F119" i="74"/>
  <c r="F118" i="74"/>
  <c r="J119" i="74"/>
  <c r="J118" i="74"/>
  <c r="H16" i="74"/>
  <c r="H90" i="74" s="1"/>
  <c r="H81" i="74"/>
  <c r="H62" i="74" s="1"/>
  <c r="I119" i="74"/>
  <c r="I118" i="74"/>
  <c r="C119" i="74"/>
  <c r="C118" i="74"/>
  <c r="G119" i="74"/>
  <c r="G118" i="74"/>
  <c r="E16" i="74"/>
  <c r="E81" i="74"/>
  <c r="D119" i="74"/>
  <c r="D118" i="74"/>
  <c r="H119" i="74"/>
  <c r="H118" i="74"/>
  <c r="B139" i="73"/>
  <c r="B100" i="73" s="1"/>
  <c r="F28" i="73"/>
  <c r="C139" i="73"/>
  <c r="K139" i="73"/>
  <c r="K100" i="73" s="1"/>
  <c r="D139" i="73"/>
  <c r="D100" i="73" s="1"/>
  <c r="H139" i="73"/>
  <c r="H100" i="73" s="1"/>
  <c r="L139" i="73"/>
  <c r="L100" i="73" s="1"/>
  <c r="L28" i="73"/>
  <c r="E139" i="73"/>
  <c r="E26" i="74"/>
  <c r="B138" i="74"/>
  <c r="B91" i="74" s="1"/>
  <c r="J138" i="74"/>
  <c r="J91" i="74" s="1"/>
  <c r="C138" i="74"/>
  <c r="G138" i="74"/>
  <c r="G91" i="74" s="1"/>
  <c r="K26" i="74"/>
  <c r="K138" i="74"/>
  <c r="K91" i="74" s="1"/>
  <c r="D138" i="74"/>
  <c r="H138" i="74"/>
  <c r="G147" i="74"/>
  <c r="G148" i="74"/>
  <c r="E148" i="74"/>
  <c r="E147" i="74"/>
  <c r="K146" i="74"/>
  <c r="K147" i="74"/>
  <c r="K148" i="74"/>
  <c r="C147" i="74"/>
  <c r="C148" i="74"/>
  <c r="I148" i="74"/>
  <c r="I147" i="74"/>
  <c r="D146" i="74"/>
  <c r="D147" i="74"/>
  <c r="D148" i="74"/>
  <c r="B148" i="74"/>
  <c r="B147" i="74"/>
  <c r="H148" i="74"/>
  <c r="H147" i="74"/>
  <c r="F146" i="74"/>
  <c r="F147" i="74"/>
  <c r="F148" i="74"/>
  <c r="K36" i="73"/>
  <c r="K50" i="73" s="1"/>
  <c r="J148" i="74"/>
  <c r="J147" i="74"/>
  <c r="M95" i="73"/>
  <c r="C36" i="74"/>
  <c r="I36" i="74"/>
  <c r="L32" i="74"/>
  <c r="L86" i="74"/>
  <c r="D84" i="74"/>
  <c r="D49" i="74" s="1"/>
  <c r="D83" i="74"/>
  <c r="D36" i="74" s="1"/>
  <c r="D37" i="74"/>
  <c r="D48" i="74" s="1"/>
  <c r="H37" i="74"/>
  <c r="H48" i="74" s="1"/>
  <c r="B84" i="74"/>
  <c r="B49" i="74" s="1"/>
  <c r="B83" i="74"/>
  <c r="B36" i="74" s="1"/>
  <c r="B37" i="74"/>
  <c r="B48" i="74" s="1"/>
  <c r="I37" i="74"/>
  <c r="I48" i="74" s="1"/>
  <c r="F77" i="74"/>
  <c r="F37" i="74"/>
  <c r="F48" i="74" s="1"/>
  <c r="J36" i="74"/>
  <c r="D78" i="74"/>
  <c r="E79" i="74"/>
  <c r="K139" i="74"/>
  <c r="F80" i="74"/>
  <c r="F30" i="74" s="1"/>
  <c r="B80" i="74"/>
  <c r="B26" i="74" s="1"/>
  <c r="D80" i="74"/>
  <c r="D30" i="74" s="1"/>
  <c r="G80" i="74"/>
  <c r="G30" i="74" s="1"/>
  <c r="J139" i="74"/>
  <c r="E80" i="74"/>
  <c r="E30" i="74" s="1"/>
  <c r="H80" i="74"/>
  <c r="H28" i="74" s="1"/>
  <c r="F16" i="74"/>
  <c r="K16" i="74"/>
  <c r="K90" i="74" s="1"/>
  <c r="E83" i="74"/>
  <c r="E36" i="74" s="1"/>
  <c r="E76" i="74"/>
  <c r="E77" i="74"/>
  <c r="E78" i="74"/>
  <c r="H76" i="74"/>
  <c r="H77" i="74"/>
  <c r="H78" i="74"/>
  <c r="H36" i="74"/>
  <c r="H79" i="74"/>
  <c r="K76" i="74"/>
  <c r="K77" i="74"/>
  <c r="K78" i="74"/>
  <c r="K36" i="74"/>
  <c r="K79" i="74"/>
  <c r="C76" i="74"/>
  <c r="K80" i="74"/>
  <c r="K30" i="74" s="1"/>
  <c r="J80" i="74"/>
  <c r="J30" i="74" s="1"/>
  <c r="J16" i="74"/>
  <c r="J90" i="74" s="1"/>
  <c r="C80" i="74"/>
  <c r="C26" i="74" s="1"/>
  <c r="I80" i="74"/>
  <c r="I26" i="74" s="1"/>
  <c r="I16" i="74"/>
  <c r="B16" i="74"/>
  <c r="B90" i="74" s="1"/>
  <c r="D16" i="74"/>
  <c r="D90" i="74" s="1"/>
  <c r="G16" i="74"/>
  <c r="G90" i="74" s="1"/>
  <c r="L85" i="74"/>
  <c r="C77" i="74"/>
  <c r="C78" i="74"/>
  <c r="C79" i="74"/>
  <c r="I79" i="74"/>
  <c r="F36" i="74"/>
  <c r="G78" i="74"/>
  <c r="F78" i="74"/>
  <c r="F79" i="74"/>
  <c r="F76" i="74"/>
  <c r="J78" i="74"/>
  <c r="J79" i="74"/>
  <c r="J76" i="74"/>
  <c r="G36" i="74"/>
  <c r="J77" i="74"/>
  <c r="B79" i="74"/>
  <c r="B76" i="74"/>
  <c r="B77" i="74"/>
  <c r="D79" i="74"/>
  <c r="D76" i="74"/>
  <c r="D77" i="74"/>
  <c r="G79" i="74"/>
  <c r="G76" i="74"/>
  <c r="G77" i="74"/>
  <c r="B78" i="74"/>
  <c r="M32" i="73"/>
  <c r="H86" i="73"/>
  <c r="H28" i="73" s="1"/>
  <c r="B38" i="73"/>
  <c r="B51" i="73" s="1"/>
  <c r="C84" i="73"/>
  <c r="D82" i="73"/>
  <c r="B82" i="73"/>
  <c r="M94" i="73"/>
  <c r="G85" i="73"/>
  <c r="G36" i="73"/>
  <c r="K82" i="73"/>
  <c r="M73" i="73"/>
  <c r="D85" i="73"/>
  <c r="C89" i="73"/>
  <c r="B86" i="73"/>
  <c r="B31" i="73" s="1"/>
  <c r="B31" i="74" s="1"/>
  <c r="I86" i="73"/>
  <c r="I28" i="73" s="1"/>
  <c r="B17" i="73"/>
  <c r="B99" i="73" s="1"/>
  <c r="H17" i="73"/>
  <c r="H99" i="73" s="1"/>
  <c r="B90" i="73"/>
  <c r="B92" i="73"/>
  <c r="B52" i="73" s="1"/>
  <c r="H85" i="73"/>
  <c r="H84" i="73"/>
  <c r="H83" i="73"/>
  <c r="H36" i="73"/>
  <c r="H50" i="73" s="1"/>
  <c r="F36" i="73"/>
  <c r="F50" i="73" s="1"/>
  <c r="F85" i="73"/>
  <c r="F82" i="73"/>
  <c r="F84" i="73"/>
  <c r="F83" i="73"/>
  <c r="I74" i="73"/>
  <c r="I38" i="73"/>
  <c r="I51" i="73" s="1"/>
  <c r="I36" i="73"/>
  <c r="I50" i="73" s="1"/>
  <c r="L85" i="73"/>
  <c r="L82" i="73"/>
  <c r="L84" i="73"/>
  <c r="L83" i="73"/>
  <c r="L36" i="73"/>
  <c r="L50" i="73" s="1"/>
  <c r="H82" i="73"/>
  <c r="E90" i="73"/>
  <c r="D86" i="73"/>
  <c r="D31" i="73" s="1"/>
  <c r="D17" i="73"/>
  <c r="D99" i="73" s="1"/>
  <c r="G17" i="73"/>
  <c r="G86" i="73"/>
  <c r="G31" i="73" s="1"/>
  <c r="K86" i="73"/>
  <c r="K31" i="73" s="1"/>
  <c r="J31" i="74" s="1"/>
  <c r="K17" i="73"/>
  <c r="K99" i="73" s="1"/>
  <c r="B84" i="73"/>
  <c r="B85" i="73"/>
  <c r="B83" i="73"/>
  <c r="E84" i="73"/>
  <c r="E85" i="73"/>
  <c r="E83" i="73"/>
  <c r="E82" i="73"/>
  <c r="E38" i="73"/>
  <c r="E51" i="73" s="1"/>
  <c r="C86" i="73"/>
  <c r="C28" i="73" s="1"/>
  <c r="C17" i="73"/>
  <c r="C99" i="73" s="1"/>
  <c r="J86" i="73"/>
  <c r="J17" i="73"/>
  <c r="E86" i="73"/>
  <c r="E28" i="73" s="1"/>
  <c r="C82" i="73"/>
  <c r="C83" i="73"/>
  <c r="J38" i="73"/>
  <c r="J51" i="73" s="1"/>
  <c r="F86" i="73"/>
  <c r="F30" i="73" s="1"/>
  <c r="L86" i="73"/>
  <c r="L31" i="73" s="1"/>
  <c r="D83" i="73"/>
  <c r="D84" i="73"/>
  <c r="G83" i="73"/>
  <c r="G84" i="73"/>
  <c r="K85" i="73"/>
  <c r="K83" i="73"/>
  <c r="K84" i="73"/>
  <c r="C36" i="73"/>
  <c r="C50" i="73" s="1"/>
  <c r="J36" i="73"/>
  <c r="J50" i="73" s="1"/>
  <c r="D38" i="73"/>
  <c r="D51" i="73" s="1"/>
  <c r="G38" i="73"/>
  <c r="G51" i="73" s="1"/>
  <c r="G82" i="73"/>
  <c r="C85" i="73"/>
  <c r="D90" i="73"/>
  <c r="J99" i="73" l="1"/>
  <c r="J28" i="73"/>
  <c r="J139" i="73"/>
  <c r="C47" i="73"/>
  <c r="C45" i="73"/>
  <c r="B47" i="73"/>
  <c r="B45" i="73"/>
  <c r="E47" i="73"/>
  <c r="E46" i="73"/>
  <c r="E45" i="73"/>
  <c r="H46" i="73"/>
  <c r="H45" i="73"/>
  <c r="H47" i="73"/>
  <c r="K45" i="73"/>
  <c r="K46" i="73"/>
  <c r="K47" i="73"/>
  <c r="D46" i="73"/>
  <c r="D45" i="73"/>
  <c r="D47" i="73"/>
  <c r="G59" i="74"/>
  <c r="G56" i="74"/>
  <c r="G44" i="74"/>
  <c r="G43" i="74"/>
  <c r="G58" i="74"/>
  <c r="G45" i="74"/>
  <c r="G57" i="74"/>
  <c r="D59" i="74"/>
  <c r="D57" i="74"/>
  <c r="D58" i="74"/>
  <c r="D45" i="74"/>
  <c r="D56" i="74"/>
  <c r="D44" i="74"/>
  <c r="D43" i="74"/>
  <c r="K59" i="74"/>
  <c r="K45" i="74"/>
  <c r="K56" i="74"/>
  <c r="K44" i="74"/>
  <c r="K43" i="74"/>
  <c r="K58" i="74"/>
  <c r="K57" i="74"/>
  <c r="B59" i="74"/>
  <c r="B44" i="74"/>
  <c r="B45" i="74"/>
  <c r="B43" i="74"/>
  <c r="B56" i="74"/>
  <c r="B58" i="74"/>
  <c r="B57" i="74"/>
  <c r="J59" i="74"/>
  <c r="J58" i="74"/>
  <c r="J56" i="74"/>
  <c r="J43" i="74"/>
  <c r="J44" i="74"/>
  <c r="J45" i="74"/>
  <c r="J57" i="74"/>
  <c r="H43" i="74"/>
  <c r="H44" i="74"/>
  <c r="H45" i="74"/>
  <c r="H57" i="74"/>
  <c r="H58" i="74"/>
  <c r="H56" i="74"/>
  <c r="C59" i="74"/>
  <c r="C45" i="74"/>
  <c r="C58" i="74"/>
  <c r="C44" i="74"/>
  <c r="C56" i="74"/>
  <c r="C43" i="74"/>
  <c r="C57" i="74"/>
  <c r="H62" i="73"/>
  <c r="H60" i="73"/>
  <c r="H61" i="73"/>
  <c r="H59" i="73"/>
  <c r="C62" i="73"/>
  <c r="C61" i="73"/>
  <c r="C60" i="73"/>
  <c r="C59" i="73"/>
  <c r="K62" i="73"/>
  <c r="K59" i="73"/>
  <c r="K61" i="73"/>
  <c r="K60" i="73"/>
  <c r="D62" i="73"/>
  <c r="D60" i="73"/>
  <c r="D61" i="73"/>
  <c r="D59" i="73"/>
  <c r="B62" i="73"/>
  <c r="B59" i="73"/>
  <c r="B61" i="73"/>
  <c r="E62" i="73"/>
  <c r="E61" i="73"/>
  <c r="E60" i="73"/>
  <c r="E59" i="73"/>
  <c r="G50" i="73"/>
  <c r="L62" i="73"/>
  <c r="L61" i="73"/>
  <c r="L59" i="73"/>
  <c r="L60" i="73"/>
  <c r="D36" i="73"/>
  <c r="D50" i="73" s="1"/>
  <c r="E36" i="73"/>
  <c r="E50" i="73" s="1"/>
  <c r="L31" i="74"/>
  <c r="E90" i="74"/>
  <c r="I138" i="74"/>
  <c r="I59" i="74"/>
  <c r="I139" i="73"/>
  <c r="I100" i="73" s="1"/>
  <c r="I31" i="73"/>
  <c r="I30" i="73"/>
  <c r="I99" i="73"/>
  <c r="F99" i="73"/>
  <c r="K28" i="73"/>
  <c r="G139" i="73"/>
  <c r="D28" i="73"/>
  <c r="B28" i="73"/>
  <c r="F139" i="73"/>
  <c r="F100" i="73" s="1"/>
  <c r="H26" i="74"/>
  <c r="F138" i="74"/>
  <c r="F139" i="74" s="1"/>
  <c r="F90" i="74" s="1"/>
  <c r="J26" i="74"/>
  <c r="H59" i="74"/>
  <c r="D26" i="74"/>
  <c r="G26" i="74"/>
  <c r="E138" i="74"/>
  <c r="E91" i="74" s="1"/>
  <c r="H30" i="74"/>
  <c r="B30" i="74"/>
  <c r="B28" i="74"/>
  <c r="J28" i="74"/>
  <c r="G28" i="74"/>
  <c r="H31" i="73"/>
  <c r="H30" i="73"/>
  <c r="F28" i="74"/>
  <c r="D28" i="74"/>
  <c r="C91" i="74"/>
  <c r="D91" i="74"/>
  <c r="L78" i="74"/>
  <c r="L72" i="74"/>
  <c r="L83" i="74"/>
  <c r="L36" i="74"/>
  <c r="L81" i="74"/>
  <c r="K28" i="74"/>
  <c r="E28" i="74"/>
  <c r="L80" i="74"/>
  <c r="L76" i="74"/>
  <c r="H91" i="74"/>
  <c r="L77" i="74"/>
  <c r="L79" i="74"/>
  <c r="I30" i="74"/>
  <c r="I28" i="74"/>
  <c r="C30" i="74"/>
  <c r="C28" i="74"/>
  <c r="L84" i="74"/>
  <c r="L49" i="74"/>
  <c r="M89" i="73"/>
  <c r="B30" i="73"/>
  <c r="B29" i="74" s="1"/>
  <c r="L47" i="73"/>
  <c r="L45" i="73"/>
  <c r="L46" i="73"/>
  <c r="E100" i="73"/>
  <c r="M88" i="73"/>
  <c r="G30" i="73"/>
  <c r="D30" i="73"/>
  <c r="L30" i="73"/>
  <c r="K30" i="73"/>
  <c r="J29" i="74" s="1"/>
  <c r="J30" i="73"/>
  <c r="J31" i="73"/>
  <c r="E31" i="73"/>
  <c r="B60" i="73"/>
  <c r="B46" i="73"/>
  <c r="M86" i="73"/>
  <c r="E30" i="73"/>
  <c r="M85" i="73"/>
  <c r="C100" i="73"/>
  <c r="C30" i="73"/>
  <c r="C31" i="73"/>
  <c r="C46" i="73"/>
  <c r="M84" i="73"/>
  <c r="M92" i="73"/>
  <c r="M52" i="73"/>
  <c r="M90" i="73"/>
  <c r="B36" i="73"/>
  <c r="B50" i="73" s="1"/>
  <c r="M83" i="73"/>
  <c r="M82" i="73"/>
  <c r="F31" i="73"/>
  <c r="J45" i="73" l="1"/>
  <c r="J61" i="73"/>
  <c r="J46" i="73"/>
  <c r="J59" i="73"/>
  <c r="J47" i="73"/>
  <c r="J60" i="73"/>
  <c r="J62" i="73"/>
  <c r="I89" i="74"/>
  <c r="I98" i="73"/>
  <c r="J98" i="73"/>
  <c r="F47" i="73"/>
  <c r="F46" i="73"/>
  <c r="F45" i="73"/>
  <c r="E98" i="73"/>
  <c r="I45" i="73"/>
  <c r="I46" i="73"/>
  <c r="I47" i="73"/>
  <c r="D89" i="74"/>
  <c r="H89" i="74"/>
  <c r="F44" i="74"/>
  <c r="F43" i="74"/>
  <c r="F58" i="74"/>
  <c r="F56" i="74"/>
  <c r="F57" i="74"/>
  <c r="F45" i="74"/>
  <c r="E59" i="74"/>
  <c r="E45" i="74"/>
  <c r="E56" i="74"/>
  <c r="E44" i="74"/>
  <c r="E57" i="74"/>
  <c r="E43" i="74"/>
  <c r="E58" i="74"/>
  <c r="J27" i="74"/>
  <c r="B27" i="74"/>
  <c r="B89" i="74" s="1"/>
  <c r="B98" i="73"/>
  <c r="F62" i="73"/>
  <c r="F60" i="73"/>
  <c r="F61" i="73"/>
  <c r="F59" i="73"/>
  <c r="I62" i="73"/>
  <c r="I59" i="73"/>
  <c r="I60" i="73"/>
  <c r="I61" i="73"/>
  <c r="G28" i="73"/>
  <c r="G98" i="73" s="1"/>
  <c r="G140" i="73"/>
  <c r="G99" i="73" s="1"/>
  <c r="G46" i="73" s="1"/>
  <c r="L29" i="74"/>
  <c r="I91" i="74"/>
  <c r="G100" i="73"/>
  <c r="M100" i="73" s="1"/>
  <c r="F59" i="74"/>
  <c r="F26" i="74"/>
  <c r="F89" i="74" s="1"/>
  <c r="F91" i="74"/>
  <c r="H94" i="74"/>
  <c r="L90" i="74"/>
  <c r="L30" i="74"/>
  <c r="K94" i="74"/>
  <c r="B94" i="74"/>
  <c r="G94" i="74"/>
  <c r="L28" i="74"/>
  <c r="C94" i="74"/>
  <c r="J94" i="74"/>
  <c r="D94" i="74"/>
  <c r="L62" i="74"/>
  <c r="I94" i="74"/>
  <c r="I41" i="73"/>
  <c r="E103" i="73"/>
  <c r="E41" i="73"/>
  <c r="L103" i="73"/>
  <c r="I97" i="73"/>
  <c r="M31" i="73"/>
  <c r="M30" i="73"/>
  <c r="K103" i="73"/>
  <c r="M36" i="73"/>
  <c r="J97" i="73"/>
  <c r="J41" i="73"/>
  <c r="E97" i="73"/>
  <c r="B103" i="73"/>
  <c r="H103" i="73"/>
  <c r="C103" i="73"/>
  <c r="D103" i="73"/>
  <c r="K56" i="63"/>
  <c r="I56" i="63"/>
  <c r="J103" i="73" l="1"/>
  <c r="P56" i="63"/>
  <c r="L59" i="74"/>
  <c r="E94" i="74"/>
  <c r="E101" i="74" s="1"/>
  <c r="L58" i="74"/>
  <c r="L27" i="74"/>
  <c r="L44" i="74"/>
  <c r="L43" i="74"/>
  <c r="G97" i="73"/>
  <c r="M28" i="73"/>
  <c r="G41" i="73"/>
  <c r="G45" i="73"/>
  <c r="G47" i="73"/>
  <c r="M47" i="73" s="1"/>
  <c r="L56" i="74"/>
  <c r="G62" i="73"/>
  <c r="M62" i="73" s="1"/>
  <c r="G59" i="73"/>
  <c r="M59" i="73" s="1"/>
  <c r="G60" i="73"/>
  <c r="M60" i="73" s="1"/>
  <c r="G61" i="73"/>
  <c r="M61" i="73" s="1"/>
  <c r="M99" i="73"/>
  <c r="I103" i="73"/>
  <c r="F103" i="73"/>
  <c r="L57" i="74"/>
  <c r="L91" i="74"/>
  <c r="L26" i="74"/>
  <c r="B101" i="74"/>
  <c r="H101" i="74"/>
  <c r="D101" i="74"/>
  <c r="C101" i="74"/>
  <c r="I101" i="74"/>
  <c r="G101" i="74"/>
  <c r="J101" i="74"/>
  <c r="K101" i="74"/>
  <c r="F94" i="74"/>
  <c r="L45" i="74"/>
  <c r="M46" i="73"/>
  <c r="M50" i="73"/>
  <c r="B97" i="73"/>
  <c r="B41" i="73"/>
  <c r="L94" i="74" l="1"/>
  <c r="G103" i="73"/>
  <c r="M103" i="73" s="1"/>
  <c r="M45" i="73"/>
  <c r="F101" i="74"/>
  <c r="L101" i="74" s="1"/>
  <c r="K72" i="50" l="1"/>
  <c r="I72" i="50"/>
  <c r="P72" i="50" s="1"/>
  <c r="K65" i="25"/>
  <c r="P108" i="25" l="1"/>
  <c r="P109" i="25"/>
  <c r="P65" i="25" l="1"/>
  <c r="C45" i="71" l="1"/>
  <c r="P45" i="71" s="1"/>
  <c r="N44" i="71"/>
  <c r="P44" i="71" s="1"/>
  <c r="O29" i="72" l="1"/>
  <c r="C93" i="70"/>
  <c r="C15" i="72"/>
  <c r="C87" i="72" s="1"/>
  <c r="D15" i="72"/>
  <c r="D87" i="72" s="1"/>
  <c r="E15" i="72"/>
  <c r="E87" i="72" s="1"/>
  <c r="F15" i="72"/>
  <c r="F87" i="72" s="1"/>
  <c r="G15" i="72"/>
  <c r="G87" i="72" s="1"/>
  <c r="H15" i="72"/>
  <c r="H87" i="72" s="1"/>
  <c r="I15" i="72"/>
  <c r="I87" i="72" s="1"/>
  <c r="J15" i="72"/>
  <c r="J87" i="72" s="1"/>
  <c r="K15" i="72"/>
  <c r="K87" i="72" s="1"/>
  <c r="L15" i="72"/>
  <c r="L87" i="72" s="1"/>
  <c r="M15" i="72"/>
  <c r="M87" i="72" s="1"/>
  <c r="N15" i="72"/>
  <c r="N87" i="72" s="1"/>
  <c r="O15" i="72"/>
  <c r="O87" i="72" s="1"/>
  <c r="B15" i="72"/>
  <c r="B87" i="72" s="1"/>
  <c r="H36" i="72"/>
  <c r="C18" i="72"/>
  <c r="D18" i="72"/>
  <c r="E18" i="72"/>
  <c r="F18" i="72"/>
  <c r="G18" i="72"/>
  <c r="H18" i="72"/>
  <c r="I18" i="72"/>
  <c r="J18" i="72"/>
  <c r="K18" i="72"/>
  <c r="L18" i="72"/>
  <c r="M18" i="72"/>
  <c r="N18" i="72"/>
  <c r="O18" i="72"/>
  <c r="B18" i="72"/>
  <c r="D118" i="72"/>
  <c r="C115" i="73" s="1"/>
  <c r="H118" i="72"/>
  <c r="L118" i="72"/>
  <c r="J115" i="73" s="1"/>
  <c r="M118" i="72"/>
  <c r="K115" i="73" s="1"/>
  <c r="N118" i="72"/>
  <c r="G119" i="72"/>
  <c r="F116" i="73" s="1"/>
  <c r="O119" i="72"/>
  <c r="L116" i="73" s="1"/>
  <c r="K107" i="74" s="1"/>
  <c r="B118" i="72"/>
  <c r="B115" i="73" s="1"/>
  <c r="O71" i="68"/>
  <c r="B184" i="71"/>
  <c r="H41" i="71"/>
  <c r="G71" i="68" l="1"/>
  <c r="I71" i="68"/>
  <c r="H71" i="68"/>
  <c r="H90" i="72"/>
  <c r="H52" i="72" s="1"/>
  <c r="H89" i="72"/>
  <c r="N119" i="72"/>
  <c r="D119" i="72"/>
  <c r="C116" i="73" s="1"/>
  <c r="C107" i="74" s="1"/>
  <c r="C119" i="72"/>
  <c r="J119" i="72"/>
  <c r="H116" i="73" s="1"/>
  <c r="G107" i="74" s="1"/>
  <c r="I119" i="72"/>
  <c r="G116" i="73" s="1"/>
  <c r="E119" i="72"/>
  <c r="C106" i="74"/>
  <c r="C113" i="74"/>
  <c r="I106" i="74"/>
  <c r="J113" i="74"/>
  <c r="E107" i="74"/>
  <c r="F114" i="74"/>
  <c r="B106" i="74"/>
  <c r="B113" i="74"/>
  <c r="H184" i="71"/>
  <c r="H82" i="71" s="1"/>
  <c r="J106" i="74"/>
  <c r="K113" i="74"/>
  <c r="B145" i="72"/>
  <c r="B67" i="72" s="1"/>
  <c r="B66" i="73" s="1"/>
  <c r="F90" i="72"/>
  <c r="F52" i="72" s="1"/>
  <c r="F89" i="72"/>
  <c r="E89" i="72"/>
  <c r="E90" i="72"/>
  <c r="E52" i="72" s="1"/>
  <c r="F119" i="72"/>
  <c r="E116" i="73" s="1"/>
  <c r="K118" i="72"/>
  <c r="I115" i="73" s="1"/>
  <c r="O118" i="72"/>
  <c r="L115" i="73" s="1"/>
  <c r="K106" i="74" s="1"/>
  <c r="G118" i="72"/>
  <c r="F115" i="73" s="1"/>
  <c r="E118" i="72"/>
  <c r="D115" i="73" s="1"/>
  <c r="D113" i="74" s="1"/>
  <c r="M119" i="72"/>
  <c r="K116" i="73" s="1"/>
  <c r="J118" i="72"/>
  <c r="H115" i="73" s="1"/>
  <c r="I118" i="72"/>
  <c r="G115" i="73" s="1"/>
  <c r="H42" i="71"/>
  <c r="C114" i="74" l="1"/>
  <c r="D91" i="73"/>
  <c r="D37" i="73" s="1"/>
  <c r="H114" i="74"/>
  <c r="G114" i="74"/>
  <c r="D116" i="73"/>
  <c r="F107" i="74"/>
  <c r="F121" i="74" s="1"/>
  <c r="D93" i="73"/>
  <c r="M93" i="73" s="1"/>
  <c r="M91" i="73"/>
  <c r="J107" i="74"/>
  <c r="K114" i="74"/>
  <c r="H106" i="74"/>
  <c r="I113" i="74"/>
  <c r="D107" i="74"/>
  <c r="E114" i="74"/>
  <c r="B64" i="74"/>
  <c r="B74" i="73"/>
  <c r="H145" i="72"/>
  <c r="H67" i="72" s="1"/>
  <c r="F106" i="74"/>
  <c r="G113" i="74"/>
  <c r="E106" i="74"/>
  <c r="F113" i="74"/>
  <c r="G106" i="74"/>
  <c r="H113" i="74"/>
  <c r="O132" i="72"/>
  <c r="O131" i="72"/>
  <c r="P69" i="72"/>
  <c r="AC75" i="72"/>
  <c r="AC74" i="72"/>
  <c r="AC73" i="72"/>
  <c r="I92" i="72"/>
  <c r="H92" i="72"/>
  <c r="I91" i="72"/>
  <c r="H91" i="72"/>
  <c r="G29" i="72"/>
  <c r="O22" i="72"/>
  <c r="N22" i="72"/>
  <c r="M22" i="72"/>
  <c r="L22" i="72"/>
  <c r="K22" i="72"/>
  <c r="J22" i="72"/>
  <c r="I22" i="72"/>
  <c r="H22" i="72"/>
  <c r="G22" i="72"/>
  <c r="F22" i="72"/>
  <c r="E22" i="72"/>
  <c r="D22" i="72"/>
  <c r="C22" i="72"/>
  <c r="B22" i="72"/>
  <c r="O20" i="72"/>
  <c r="O53" i="72" s="1"/>
  <c r="N20" i="72"/>
  <c r="N53" i="72" s="1"/>
  <c r="M20" i="72"/>
  <c r="M53" i="72" s="1"/>
  <c r="L20" i="72"/>
  <c r="L53" i="72" s="1"/>
  <c r="K20" i="72"/>
  <c r="K53" i="72" s="1"/>
  <c r="J20" i="72"/>
  <c r="J53" i="72" s="1"/>
  <c r="I20" i="72"/>
  <c r="I53" i="72" s="1"/>
  <c r="H20" i="72"/>
  <c r="H53" i="72" s="1"/>
  <c r="G20" i="72"/>
  <c r="G53" i="72" s="1"/>
  <c r="F20" i="72"/>
  <c r="F53" i="72" s="1"/>
  <c r="E20" i="72"/>
  <c r="D20" i="72"/>
  <c r="D53" i="72" s="1"/>
  <c r="C20" i="72"/>
  <c r="C53" i="72" s="1"/>
  <c r="B20" i="72"/>
  <c r="B53" i="72" s="1"/>
  <c r="N19" i="72"/>
  <c r="L19" i="72"/>
  <c r="K19" i="72"/>
  <c r="I19" i="72"/>
  <c r="F19" i="72"/>
  <c r="E19" i="72"/>
  <c r="C19" i="72"/>
  <c r="B19" i="72"/>
  <c r="C89" i="72"/>
  <c r="O17" i="72"/>
  <c r="O88" i="72" s="1"/>
  <c r="N17" i="72"/>
  <c r="M17" i="72"/>
  <c r="L17" i="72"/>
  <c r="K17" i="72"/>
  <c r="K88" i="72" s="1"/>
  <c r="J17" i="72"/>
  <c r="I17" i="72"/>
  <c r="H17" i="72"/>
  <c r="H74" i="72" s="1"/>
  <c r="G17" i="72"/>
  <c r="G88" i="72" s="1"/>
  <c r="F17" i="72"/>
  <c r="E17" i="72"/>
  <c r="D87" i="73" s="1"/>
  <c r="D17" i="72"/>
  <c r="C17" i="72"/>
  <c r="B17" i="72"/>
  <c r="N16" i="72"/>
  <c r="M16" i="72"/>
  <c r="L16" i="72"/>
  <c r="J16" i="72"/>
  <c r="I16" i="72"/>
  <c r="H16" i="72"/>
  <c r="F16" i="72"/>
  <c r="E16" i="72"/>
  <c r="D16" i="72"/>
  <c r="B16" i="72"/>
  <c r="O14" i="72"/>
  <c r="N14" i="72"/>
  <c r="M14" i="72"/>
  <c r="L14" i="72"/>
  <c r="K14" i="72"/>
  <c r="J14" i="72"/>
  <c r="I14" i="72"/>
  <c r="H14" i="72"/>
  <c r="G14" i="72"/>
  <c r="F14" i="72"/>
  <c r="E14" i="72"/>
  <c r="D14" i="72"/>
  <c r="C14" i="72"/>
  <c r="B14" i="72"/>
  <c r="O13" i="72"/>
  <c r="N13" i="72"/>
  <c r="M13" i="72"/>
  <c r="L13" i="72"/>
  <c r="K13" i="72"/>
  <c r="J13" i="72"/>
  <c r="I13" i="72"/>
  <c r="H13" i="72"/>
  <c r="G13" i="72"/>
  <c r="F13" i="72"/>
  <c r="E13" i="72"/>
  <c r="D13" i="72"/>
  <c r="C13" i="72"/>
  <c r="B13" i="72"/>
  <c r="O12" i="72"/>
  <c r="N12" i="72"/>
  <c r="M12" i="72"/>
  <c r="L12" i="72"/>
  <c r="K12" i="72"/>
  <c r="J12" i="72"/>
  <c r="I12" i="72"/>
  <c r="H12" i="72"/>
  <c r="G12" i="72"/>
  <c r="F12" i="72"/>
  <c r="D12" i="72"/>
  <c r="C12" i="72"/>
  <c r="B12" i="72"/>
  <c r="O8" i="72"/>
  <c r="N8" i="72"/>
  <c r="M8" i="72"/>
  <c r="L8" i="72"/>
  <c r="K8" i="72"/>
  <c r="J8" i="72"/>
  <c r="I8" i="72"/>
  <c r="H8" i="72"/>
  <c r="G8" i="72"/>
  <c r="F8" i="72"/>
  <c r="E8" i="72"/>
  <c r="D8" i="72"/>
  <c r="C8" i="72"/>
  <c r="B8" i="72"/>
  <c r="K43" i="71"/>
  <c r="P43" i="71" s="1"/>
  <c r="E42" i="71"/>
  <c r="E152" i="71"/>
  <c r="D152" i="71"/>
  <c r="O176" i="71"/>
  <c r="N176" i="71"/>
  <c r="M176" i="71"/>
  <c r="L176" i="71"/>
  <c r="J176" i="71"/>
  <c r="I176" i="71"/>
  <c r="H176" i="71"/>
  <c r="G176" i="71"/>
  <c r="F176" i="71"/>
  <c r="E176" i="71"/>
  <c r="D176" i="71"/>
  <c r="B176" i="71"/>
  <c r="O175" i="71"/>
  <c r="L175" i="71"/>
  <c r="J175" i="71"/>
  <c r="I175" i="71"/>
  <c r="H175" i="71"/>
  <c r="G175" i="71"/>
  <c r="F175" i="71"/>
  <c r="E175" i="71"/>
  <c r="D175" i="71"/>
  <c r="C175" i="71"/>
  <c r="B175" i="71"/>
  <c r="O154" i="71"/>
  <c r="N154" i="71"/>
  <c r="M154" i="71"/>
  <c r="L154" i="71"/>
  <c r="K154" i="71"/>
  <c r="J154" i="71"/>
  <c r="I154" i="71"/>
  <c r="H154" i="71"/>
  <c r="G154" i="71"/>
  <c r="F154" i="71"/>
  <c r="E154" i="71"/>
  <c r="D154" i="71"/>
  <c r="B154" i="71"/>
  <c r="O153" i="71"/>
  <c r="N153" i="71"/>
  <c r="M153" i="71"/>
  <c r="L153" i="71"/>
  <c r="J153" i="71"/>
  <c r="I153" i="71"/>
  <c r="H153" i="71"/>
  <c r="G153" i="71"/>
  <c r="F153" i="71"/>
  <c r="E153" i="71"/>
  <c r="D153" i="71"/>
  <c r="C153" i="71"/>
  <c r="B153" i="71"/>
  <c r="O152" i="71"/>
  <c r="N152" i="71"/>
  <c r="M152" i="71"/>
  <c r="L152" i="71"/>
  <c r="K152" i="71"/>
  <c r="J152" i="71"/>
  <c r="I152" i="71"/>
  <c r="H152" i="71"/>
  <c r="G152" i="71"/>
  <c r="F152" i="71"/>
  <c r="C152" i="71"/>
  <c r="B152" i="71"/>
  <c r="O151" i="71"/>
  <c r="N151" i="71"/>
  <c r="L151" i="71"/>
  <c r="K151" i="71"/>
  <c r="J151" i="71"/>
  <c r="I151" i="71"/>
  <c r="H151" i="71"/>
  <c r="G151" i="71"/>
  <c r="F151" i="71"/>
  <c r="E151" i="71"/>
  <c r="D151" i="71"/>
  <c r="C151" i="71"/>
  <c r="B151" i="71"/>
  <c r="O150" i="71"/>
  <c r="N150" i="71"/>
  <c r="M150" i="71"/>
  <c r="L150" i="71"/>
  <c r="J150" i="71"/>
  <c r="I150" i="71"/>
  <c r="H150" i="71"/>
  <c r="G150" i="71"/>
  <c r="F150" i="71"/>
  <c r="E150" i="71"/>
  <c r="D150" i="71"/>
  <c r="C150" i="71"/>
  <c r="B150" i="71"/>
  <c r="O149" i="71"/>
  <c r="M149" i="71"/>
  <c r="L149" i="71"/>
  <c r="K149" i="71"/>
  <c r="J149" i="71"/>
  <c r="I149" i="71"/>
  <c r="H149" i="71"/>
  <c r="G149" i="71"/>
  <c r="F149" i="71"/>
  <c r="E149" i="71"/>
  <c r="D149" i="71"/>
  <c r="C149" i="71"/>
  <c r="B149" i="71"/>
  <c r="O148" i="71"/>
  <c r="M148" i="71"/>
  <c r="L148" i="71"/>
  <c r="K148" i="71"/>
  <c r="J148" i="71"/>
  <c r="I148" i="71"/>
  <c r="H148" i="71"/>
  <c r="G148" i="71"/>
  <c r="F148" i="71"/>
  <c r="E148" i="71"/>
  <c r="D148" i="71"/>
  <c r="C148" i="71"/>
  <c r="B148" i="71"/>
  <c r="O147" i="71"/>
  <c r="N147" i="71"/>
  <c r="M147" i="71"/>
  <c r="L147" i="71"/>
  <c r="K147" i="71"/>
  <c r="J147" i="71"/>
  <c r="I147" i="71"/>
  <c r="H147" i="71"/>
  <c r="G147" i="71"/>
  <c r="F147" i="71"/>
  <c r="E147" i="71"/>
  <c r="D147" i="71"/>
  <c r="C147" i="71"/>
  <c r="B147" i="71"/>
  <c r="O146" i="71"/>
  <c r="N146" i="71"/>
  <c r="M146" i="71"/>
  <c r="K146" i="71"/>
  <c r="J146" i="71"/>
  <c r="I146" i="71"/>
  <c r="H146" i="71"/>
  <c r="G146" i="71"/>
  <c r="F146" i="71"/>
  <c r="E146" i="71"/>
  <c r="D146" i="71"/>
  <c r="C146" i="71"/>
  <c r="B146" i="71"/>
  <c r="O145" i="71"/>
  <c r="N145" i="71"/>
  <c r="M145" i="71"/>
  <c r="K145" i="71"/>
  <c r="J145" i="71"/>
  <c r="I145" i="71"/>
  <c r="H145" i="71"/>
  <c r="G145" i="71"/>
  <c r="F145" i="71"/>
  <c r="E145" i="71"/>
  <c r="D145" i="71"/>
  <c r="C145" i="71"/>
  <c r="B145" i="71"/>
  <c r="O144" i="71"/>
  <c r="N144" i="71"/>
  <c r="M144" i="71"/>
  <c r="L144" i="71"/>
  <c r="K144" i="71"/>
  <c r="J144" i="71"/>
  <c r="I144" i="71"/>
  <c r="H144" i="71"/>
  <c r="G144" i="71"/>
  <c r="F144" i="71"/>
  <c r="E144" i="71"/>
  <c r="D144" i="71"/>
  <c r="C144" i="71"/>
  <c r="P104" i="71"/>
  <c r="P115" i="71"/>
  <c r="N148" i="71"/>
  <c r="P114" i="71"/>
  <c r="L145" i="71"/>
  <c r="P113" i="71"/>
  <c r="P111" i="71"/>
  <c r="P107" i="71"/>
  <c r="N149" i="71"/>
  <c r="P106" i="71"/>
  <c r="P103" i="71"/>
  <c r="P102" i="71"/>
  <c r="P101" i="71"/>
  <c r="P100" i="71"/>
  <c r="P99" i="71"/>
  <c r="P98" i="71"/>
  <c r="P97" i="71"/>
  <c r="P96" i="71"/>
  <c r="P84" i="71"/>
  <c r="O19" i="71"/>
  <c r="N19" i="71"/>
  <c r="M19" i="71"/>
  <c r="L19" i="71"/>
  <c r="K19" i="71"/>
  <c r="J19" i="71"/>
  <c r="I19" i="71"/>
  <c r="H19" i="71"/>
  <c r="G19" i="71"/>
  <c r="F19" i="71"/>
  <c r="E19" i="71"/>
  <c r="D19" i="71"/>
  <c r="C19" i="71"/>
  <c r="B19" i="71"/>
  <c r="N18" i="71"/>
  <c r="L18" i="71"/>
  <c r="K18" i="71"/>
  <c r="I18" i="71"/>
  <c r="F18" i="71"/>
  <c r="E18" i="71"/>
  <c r="C18" i="71"/>
  <c r="B18" i="71"/>
  <c r="O17" i="71"/>
  <c r="N17" i="71"/>
  <c r="M17" i="71"/>
  <c r="L17" i="71"/>
  <c r="K17" i="71"/>
  <c r="J17" i="71"/>
  <c r="I17" i="71"/>
  <c r="H17" i="71"/>
  <c r="G17" i="71"/>
  <c r="H128" i="71" s="1"/>
  <c r="F17" i="71"/>
  <c r="E17" i="71"/>
  <c r="D17" i="71"/>
  <c r="C17" i="71"/>
  <c r="B17" i="71"/>
  <c r="O16" i="71"/>
  <c r="N16" i="71"/>
  <c r="M16" i="71"/>
  <c r="L16" i="71"/>
  <c r="K16" i="71"/>
  <c r="J16" i="71"/>
  <c r="I16" i="71"/>
  <c r="I121" i="71" s="1"/>
  <c r="H16" i="71"/>
  <c r="H121" i="71" s="1"/>
  <c r="G16" i="71"/>
  <c r="G121" i="71" s="1"/>
  <c r="F16" i="71"/>
  <c r="E16" i="71"/>
  <c r="D16" i="71"/>
  <c r="C16" i="71"/>
  <c r="B16" i="71"/>
  <c r="O14" i="71"/>
  <c r="N14" i="71"/>
  <c r="M14" i="71"/>
  <c r="L14" i="71"/>
  <c r="K14" i="71"/>
  <c r="J14" i="71"/>
  <c r="I14" i="71"/>
  <c r="H14" i="71"/>
  <c r="G14" i="71"/>
  <c r="F14" i="71"/>
  <c r="E14" i="71"/>
  <c r="D14" i="71"/>
  <c r="C14" i="71"/>
  <c r="B14" i="71"/>
  <c r="O8" i="71"/>
  <c r="N8" i="71"/>
  <c r="M8" i="71"/>
  <c r="L8" i="71"/>
  <c r="K8" i="71"/>
  <c r="J8" i="71"/>
  <c r="I8" i="71"/>
  <c r="H8" i="71"/>
  <c r="G8" i="71"/>
  <c r="F8" i="71"/>
  <c r="E8" i="71"/>
  <c r="D8" i="71"/>
  <c r="C8" i="71"/>
  <c r="B8" i="71"/>
  <c r="C146" i="70"/>
  <c r="D146" i="70"/>
  <c r="E146" i="70"/>
  <c r="F146" i="70"/>
  <c r="G146" i="70"/>
  <c r="H146" i="70"/>
  <c r="I146" i="70"/>
  <c r="J146" i="70"/>
  <c r="K146" i="70"/>
  <c r="L146" i="70"/>
  <c r="M146" i="70"/>
  <c r="O146" i="70"/>
  <c r="B146" i="70"/>
  <c r="N112" i="70"/>
  <c r="L111" i="70"/>
  <c r="B109" i="70"/>
  <c r="C108" i="70"/>
  <c r="C174" i="70" s="1"/>
  <c r="K107" i="70"/>
  <c r="K174" i="70" s="1"/>
  <c r="E106" i="70"/>
  <c r="L105" i="70"/>
  <c r="N104" i="70"/>
  <c r="N173" i="70" s="1"/>
  <c r="K102" i="70"/>
  <c r="K173" i="70" s="1"/>
  <c r="J101" i="70"/>
  <c r="F100" i="70"/>
  <c r="E99" i="70"/>
  <c r="C97" i="70"/>
  <c r="H96" i="70"/>
  <c r="B95" i="70"/>
  <c r="B161" i="70" s="1"/>
  <c r="C92" i="70"/>
  <c r="C94" i="70"/>
  <c r="C159" i="70" s="1"/>
  <c r="B92" i="70"/>
  <c r="E174" i="70"/>
  <c r="F174" i="70"/>
  <c r="G174" i="70"/>
  <c r="H174" i="70"/>
  <c r="I174" i="70"/>
  <c r="J174" i="70"/>
  <c r="L174" i="70"/>
  <c r="M174" i="70"/>
  <c r="N174" i="70"/>
  <c r="O174" i="70"/>
  <c r="B174" i="70"/>
  <c r="C173" i="70"/>
  <c r="E173" i="70"/>
  <c r="F173" i="70"/>
  <c r="G173" i="70"/>
  <c r="H173" i="70"/>
  <c r="I173" i="70"/>
  <c r="J173" i="70"/>
  <c r="L173" i="70"/>
  <c r="B173" i="70"/>
  <c r="D121" i="71" l="1"/>
  <c r="D120" i="71"/>
  <c r="O15" i="71"/>
  <c r="O121" i="71"/>
  <c r="O120" i="71"/>
  <c r="D15" i="71"/>
  <c r="C182" i="71"/>
  <c r="C181" i="71"/>
  <c r="K181" i="71"/>
  <c r="K182" i="71"/>
  <c r="O181" i="71"/>
  <c r="O182" i="71"/>
  <c r="O132" i="71"/>
  <c r="O134" i="71"/>
  <c r="O133" i="71"/>
  <c r="D181" i="71"/>
  <c r="D182" i="71"/>
  <c r="D134" i="71"/>
  <c r="D132" i="71"/>
  <c r="D133" i="71"/>
  <c r="L181" i="71"/>
  <c r="L182" i="71"/>
  <c r="E181" i="71"/>
  <c r="E182" i="71"/>
  <c r="M182" i="71"/>
  <c r="M181" i="71"/>
  <c r="D72" i="71"/>
  <c r="D74" i="71"/>
  <c r="D55" i="71"/>
  <c r="D76" i="71"/>
  <c r="D59" i="71"/>
  <c r="D57" i="71"/>
  <c r="B181" i="71"/>
  <c r="B182" i="71"/>
  <c r="F181" i="71"/>
  <c r="F182" i="71"/>
  <c r="J182" i="71"/>
  <c r="J181" i="71"/>
  <c r="N182" i="71"/>
  <c r="N181" i="71"/>
  <c r="O124" i="71"/>
  <c r="O125" i="71"/>
  <c r="E126" i="71"/>
  <c r="I126" i="71"/>
  <c r="N126" i="71"/>
  <c r="D124" i="71"/>
  <c r="D125" i="71"/>
  <c r="F126" i="71"/>
  <c r="J126" i="71"/>
  <c r="O126" i="71"/>
  <c r="B126" i="71"/>
  <c r="G126" i="71"/>
  <c r="L126" i="71"/>
  <c r="D126" i="71"/>
  <c r="H126" i="71"/>
  <c r="M126" i="71"/>
  <c r="G21" i="71"/>
  <c r="G22" i="71"/>
  <c r="D21" i="71"/>
  <c r="D22" i="71"/>
  <c r="H21" i="71"/>
  <c r="H22" i="71"/>
  <c r="L21" i="71"/>
  <c r="L22" i="71"/>
  <c r="C21" i="71"/>
  <c r="C22" i="71"/>
  <c r="O64" i="71"/>
  <c r="O21" i="71"/>
  <c r="O22" i="71"/>
  <c r="E21" i="71"/>
  <c r="E22" i="71"/>
  <c r="I22" i="71"/>
  <c r="I21" i="71"/>
  <c r="M22" i="71"/>
  <c r="M21" i="71"/>
  <c r="K21" i="71"/>
  <c r="K22" i="71"/>
  <c r="B22" i="71"/>
  <c r="B21" i="71"/>
  <c r="F21" i="71"/>
  <c r="F22" i="71"/>
  <c r="J21" i="71"/>
  <c r="J22" i="71"/>
  <c r="N21" i="71"/>
  <c r="N22" i="71"/>
  <c r="I64" i="71"/>
  <c r="M173" i="70"/>
  <c r="O103" i="70"/>
  <c r="O173" i="70" s="1"/>
  <c r="H64" i="71"/>
  <c r="N64" i="71"/>
  <c r="E143" i="72"/>
  <c r="E53" i="72"/>
  <c r="K64" i="71"/>
  <c r="M64" i="71"/>
  <c r="J64" i="71"/>
  <c r="L64" i="71"/>
  <c r="D114" i="74"/>
  <c r="J143" i="72"/>
  <c r="N143" i="72"/>
  <c r="G126" i="72"/>
  <c r="G123" i="73" s="1"/>
  <c r="G121" i="74" s="1"/>
  <c r="G143" i="72"/>
  <c r="K143" i="72"/>
  <c r="O126" i="72"/>
  <c r="O143" i="72"/>
  <c r="C143" i="72"/>
  <c r="L143" i="72"/>
  <c r="F143" i="72"/>
  <c r="B143" i="72"/>
  <c r="D143" i="72"/>
  <c r="M143" i="72"/>
  <c r="D126" i="72"/>
  <c r="D123" i="73" s="1"/>
  <c r="D121" i="74" s="1"/>
  <c r="H63" i="71"/>
  <c r="H127" i="71"/>
  <c r="M87" i="73"/>
  <c r="D118" i="71"/>
  <c r="O118" i="71"/>
  <c r="E142" i="72"/>
  <c r="E97" i="72" s="1"/>
  <c r="M142" i="72"/>
  <c r="B142" i="72"/>
  <c r="B97" i="72" s="1"/>
  <c r="F142" i="72"/>
  <c r="F97" i="72" s="1"/>
  <c r="J142" i="72"/>
  <c r="J97" i="72" s="1"/>
  <c r="N142" i="72"/>
  <c r="N97" i="72" s="1"/>
  <c r="C142" i="72"/>
  <c r="C97" i="72" s="1"/>
  <c r="G26" i="72"/>
  <c r="K142" i="72"/>
  <c r="K97" i="72" s="1"/>
  <c r="O26" i="72"/>
  <c r="O142" i="72"/>
  <c r="O97" i="72" s="1"/>
  <c r="D142" i="72"/>
  <c r="D97" i="72" s="1"/>
  <c r="L142" i="72"/>
  <c r="L97" i="72" s="1"/>
  <c r="B73" i="74"/>
  <c r="N48" i="71"/>
  <c r="N62" i="71" s="1"/>
  <c r="N78" i="71"/>
  <c r="N61" i="71" s="1"/>
  <c r="C48" i="71"/>
  <c r="C62" i="71" s="1"/>
  <c r="K78" i="71"/>
  <c r="K61" i="71" s="1"/>
  <c r="K48" i="71"/>
  <c r="K62" i="71" s="1"/>
  <c r="O78" i="71"/>
  <c r="O61" i="71" s="1"/>
  <c r="J78" i="71"/>
  <c r="J61" i="71" s="1"/>
  <c r="D78" i="71"/>
  <c r="D61" i="71" s="1"/>
  <c r="L48" i="71"/>
  <c r="L62" i="71" s="1"/>
  <c r="L78" i="71"/>
  <c r="L61" i="71" s="1"/>
  <c r="F48" i="71"/>
  <c r="F62" i="71" s="1"/>
  <c r="E48" i="71"/>
  <c r="E62" i="71" s="1"/>
  <c r="I48" i="71"/>
  <c r="I62" i="71" s="1"/>
  <c r="M78" i="71"/>
  <c r="M61" i="71" s="1"/>
  <c r="B40" i="72"/>
  <c r="B51" i="72" s="1"/>
  <c r="B75" i="72"/>
  <c r="F39" i="72"/>
  <c r="F50" i="72" s="1"/>
  <c r="F40" i="72"/>
  <c r="F51" i="72" s="1"/>
  <c r="J39" i="72"/>
  <c r="J50" i="72" s="1"/>
  <c r="N39" i="72"/>
  <c r="N50" i="72" s="1"/>
  <c r="N40" i="72"/>
  <c r="N51" i="72" s="1"/>
  <c r="I40" i="72"/>
  <c r="I51" i="72" s="1"/>
  <c r="I39" i="72"/>
  <c r="I50" i="72" s="1"/>
  <c r="C88" i="72"/>
  <c r="C74" i="72"/>
  <c r="P74" i="72" s="1"/>
  <c r="C40" i="72"/>
  <c r="C51" i="72" s="1"/>
  <c r="C39" i="72"/>
  <c r="C50" i="72" s="1"/>
  <c r="G39" i="72"/>
  <c r="G50" i="72" s="1"/>
  <c r="K39" i="72"/>
  <c r="K50" i="72" s="1"/>
  <c r="K75" i="72"/>
  <c r="K40" i="72"/>
  <c r="K51" i="72" s="1"/>
  <c r="O39" i="72"/>
  <c r="O50" i="72" s="1"/>
  <c r="E40" i="72"/>
  <c r="E51" i="72" s="1"/>
  <c r="E39" i="72"/>
  <c r="E50" i="72" s="1"/>
  <c r="M39" i="72"/>
  <c r="M50" i="72" s="1"/>
  <c r="D39" i="72"/>
  <c r="D50" i="72" s="1"/>
  <c r="H39" i="72"/>
  <c r="H50" i="72" s="1"/>
  <c r="L40" i="72"/>
  <c r="L51" i="72" s="1"/>
  <c r="L39" i="72"/>
  <c r="L50" i="72" s="1"/>
  <c r="B96" i="72"/>
  <c r="N96" i="72"/>
  <c r="M96" i="72"/>
  <c r="B48" i="71"/>
  <c r="B62" i="71" s="1"/>
  <c r="F127" i="71"/>
  <c r="E127" i="71"/>
  <c r="D96" i="72"/>
  <c r="E96" i="72"/>
  <c r="J96" i="72"/>
  <c r="F96" i="72"/>
  <c r="L96" i="72"/>
  <c r="K16" i="72"/>
  <c r="C16" i="72"/>
  <c r="G86" i="72"/>
  <c r="G27" i="72" s="1"/>
  <c r="G16" i="72"/>
  <c r="O86" i="72"/>
  <c r="O27" i="72" s="1"/>
  <c r="O16" i="72"/>
  <c r="D88" i="72"/>
  <c r="H88" i="72"/>
  <c r="L88" i="72"/>
  <c r="B88" i="72"/>
  <c r="F88" i="72"/>
  <c r="J88" i="72"/>
  <c r="N88" i="72"/>
  <c r="N146" i="70"/>
  <c r="P29" i="72"/>
  <c r="P92" i="72"/>
  <c r="B82" i="72"/>
  <c r="J82" i="72"/>
  <c r="H86" i="72"/>
  <c r="H27" i="72" s="1"/>
  <c r="L84" i="72"/>
  <c r="E88" i="72"/>
  <c r="I88" i="72"/>
  <c r="M88" i="72"/>
  <c r="C82" i="72"/>
  <c r="B89" i="72"/>
  <c r="N86" i="72"/>
  <c r="N27" i="72" s="1"/>
  <c r="N82" i="72"/>
  <c r="D84" i="72"/>
  <c r="P41" i="71"/>
  <c r="P109" i="71"/>
  <c r="E86" i="72"/>
  <c r="E26" i="72" s="1"/>
  <c r="I86" i="72"/>
  <c r="I28" i="72" s="1"/>
  <c r="M86" i="72"/>
  <c r="M28" i="72" s="1"/>
  <c r="G85" i="72"/>
  <c r="G84" i="72"/>
  <c r="O84" i="72"/>
  <c r="O85" i="72"/>
  <c r="K83" i="72"/>
  <c r="M85" i="72"/>
  <c r="D85" i="72"/>
  <c r="D82" i="72"/>
  <c r="H85" i="72"/>
  <c r="H82" i="72"/>
  <c r="D83" i="72"/>
  <c r="L83" i="72"/>
  <c r="N85" i="72"/>
  <c r="C86" i="72"/>
  <c r="C28" i="72" s="1"/>
  <c r="K86" i="72"/>
  <c r="K27" i="72" s="1"/>
  <c r="E82" i="72"/>
  <c r="E83" i="72"/>
  <c r="I82" i="72"/>
  <c r="I85" i="72"/>
  <c r="I83" i="72"/>
  <c r="M82" i="72"/>
  <c r="M83" i="72"/>
  <c r="F82" i="72"/>
  <c r="G83" i="72"/>
  <c r="O83" i="72"/>
  <c r="H84" i="72"/>
  <c r="E85" i="72"/>
  <c r="F86" i="72"/>
  <c r="F26" i="72" s="1"/>
  <c r="C90" i="72"/>
  <c r="C52" i="72" s="1"/>
  <c r="C85" i="72"/>
  <c r="C84" i="72"/>
  <c r="K85" i="72"/>
  <c r="K84" i="72"/>
  <c r="C83" i="72"/>
  <c r="B86" i="72"/>
  <c r="B27" i="72" s="1"/>
  <c r="J86" i="72"/>
  <c r="J27" i="72" s="1"/>
  <c r="L85" i="72"/>
  <c r="L82" i="72"/>
  <c r="K82" i="72"/>
  <c r="E84" i="72"/>
  <c r="M84" i="72"/>
  <c r="D86" i="72"/>
  <c r="D26" i="72" s="1"/>
  <c r="L86" i="72"/>
  <c r="L28" i="72" s="1"/>
  <c r="B90" i="72"/>
  <c r="B52" i="72" s="1"/>
  <c r="B85" i="72"/>
  <c r="B83" i="72"/>
  <c r="B84" i="72"/>
  <c r="F83" i="72"/>
  <c r="F84" i="72"/>
  <c r="J85" i="72"/>
  <c r="J83" i="72"/>
  <c r="J84" i="72"/>
  <c r="N84" i="72"/>
  <c r="N83" i="72"/>
  <c r="N33" i="72" s="1"/>
  <c r="P91" i="72"/>
  <c r="G82" i="72"/>
  <c r="O82" i="72"/>
  <c r="H83" i="72"/>
  <c r="H33" i="72" s="1"/>
  <c r="I84" i="72"/>
  <c r="F85" i="72"/>
  <c r="P42" i="71"/>
  <c r="P149" i="71"/>
  <c r="P147" i="71"/>
  <c r="B127" i="71"/>
  <c r="C127" i="71"/>
  <c r="K150" i="71"/>
  <c r="K175" i="71"/>
  <c r="P105" i="71"/>
  <c r="P95" i="71"/>
  <c r="M175" i="71"/>
  <c r="M151" i="71"/>
  <c r="K176" i="71"/>
  <c r="K126" i="71" s="1"/>
  <c r="K153" i="71"/>
  <c r="P153" i="71" s="1"/>
  <c r="P110" i="71"/>
  <c r="B144" i="71"/>
  <c r="P112" i="71"/>
  <c r="L146" i="71"/>
  <c r="P108" i="71"/>
  <c r="P145" i="71"/>
  <c r="P148" i="71"/>
  <c r="C176" i="71"/>
  <c r="C126" i="71" s="1"/>
  <c r="C154" i="71"/>
  <c r="N175" i="71"/>
  <c r="D56" i="71" l="1"/>
  <c r="D73" i="71"/>
  <c r="D54" i="71"/>
  <c r="D58" i="71"/>
  <c r="O56" i="71"/>
  <c r="O73" i="71"/>
  <c r="D39" i="71"/>
  <c r="D26" i="71"/>
  <c r="D40" i="71"/>
  <c r="D27" i="71"/>
  <c r="O40" i="71"/>
  <c r="O27" i="71"/>
  <c r="O39" i="71"/>
  <c r="O26" i="71"/>
  <c r="O33" i="71"/>
  <c r="O32" i="71"/>
  <c r="O34" i="71"/>
  <c r="O25" i="71"/>
  <c r="D32" i="71"/>
  <c r="D33" i="71"/>
  <c r="D34" i="71"/>
  <c r="D25" i="71"/>
  <c r="I118" i="71"/>
  <c r="H118" i="71"/>
  <c r="M118" i="71"/>
  <c r="M78" i="72" s="1"/>
  <c r="F118" i="71"/>
  <c r="E118" i="71"/>
  <c r="L118" i="71"/>
  <c r="B118" i="71"/>
  <c r="J118" i="71"/>
  <c r="N118" i="71"/>
  <c r="C118" i="71"/>
  <c r="K118" i="71"/>
  <c r="P22" i="71"/>
  <c r="P21" i="71"/>
  <c r="B39" i="72"/>
  <c r="B50" i="72" s="1"/>
  <c r="D29" i="73"/>
  <c r="D98" i="73" s="1"/>
  <c r="B78" i="71"/>
  <c r="B61" i="71" s="1"/>
  <c r="E78" i="71"/>
  <c r="E61" i="71" s="1"/>
  <c r="C78" i="71"/>
  <c r="C61" i="71" s="1"/>
  <c r="F78" i="71"/>
  <c r="F61" i="71" s="1"/>
  <c r="M63" i="72"/>
  <c r="M48" i="72"/>
  <c r="M61" i="72"/>
  <c r="M47" i="72"/>
  <c r="M62" i="72"/>
  <c r="M46" i="72"/>
  <c r="M60" i="72"/>
  <c r="N63" i="72"/>
  <c r="N47" i="72"/>
  <c r="N60" i="72"/>
  <c r="N46" i="72"/>
  <c r="N48" i="72"/>
  <c r="N61" i="72"/>
  <c r="N62" i="72"/>
  <c r="J63" i="72"/>
  <c r="J47" i="72"/>
  <c r="J60" i="72"/>
  <c r="J62" i="72"/>
  <c r="J48" i="72"/>
  <c r="J61" i="72"/>
  <c r="J46" i="72"/>
  <c r="B63" i="72"/>
  <c r="B46" i="72"/>
  <c r="B60" i="72"/>
  <c r="B48" i="72"/>
  <c r="B62" i="72"/>
  <c r="L62" i="72"/>
  <c r="L47" i="72"/>
  <c r="L46" i="72"/>
  <c r="L60" i="72"/>
  <c r="L48" i="72"/>
  <c r="L61" i="72"/>
  <c r="D63" i="72"/>
  <c r="D62" i="72"/>
  <c r="D47" i="72"/>
  <c r="D60" i="72"/>
  <c r="D48" i="72"/>
  <c r="D46" i="72"/>
  <c r="D61" i="72"/>
  <c r="F63" i="72"/>
  <c r="F47" i="72"/>
  <c r="F60" i="72"/>
  <c r="F62" i="72"/>
  <c r="F46" i="72"/>
  <c r="F48" i="72"/>
  <c r="F61" i="72"/>
  <c r="E63" i="72"/>
  <c r="E48" i="72"/>
  <c r="E61" i="72"/>
  <c r="E47" i="72"/>
  <c r="E62" i="72"/>
  <c r="E46" i="72"/>
  <c r="E60" i="72"/>
  <c r="O54" i="71"/>
  <c r="O71" i="71"/>
  <c r="O58" i="71"/>
  <c r="O75" i="71"/>
  <c r="D39" i="73"/>
  <c r="M26" i="72"/>
  <c r="O77" i="71"/>
  <c r="L26" i="72"/>
  <c r="N26" i="72"/>
  <c r="K26" i="72"/>
  <c r="C26" i="72"/>
  <c r="L63" i="72"/>
  <c r="G142" i="72"/>
  <c r="G97" i="72" s="1"/>
  <c r="J26" i="72"/>
  <c r="B26" i="72"/>
  <c r="H142" i="72"/>
  <c r="H143" i="72" s="1"/>
  <c r="H96" i="72" s="1"/>
  <c r="I142" i="72"/>
  <c r="I143" i="72" s="1"/>
  <c r="I96" i="72" s="1"/>
  <c r="D145" i="72"/>
  <c r="K78" i="73"/>
  <c r="M78" i="73" s="1"/>
  <c r="K77" i="73"/>
  <c r="M97" i="72"/>
  <c r="G28" i="72"/>
  <c r="K96" i="72"/>
  <c r="G96" i="72"/>
  <c r="C96" i="72"/>
  <c r="D83" i="71"/>
  <c r="P89" i="71"/>
  <c r="O96" i="72"/>
  <c r="O28" i="72"/>
  <c r="K28" i="72"/>
  <c r="H28" i="72"/>
  <c r="N28" i="72"/>
  <c r="B28" i="72"/>
  <c r="I27" i="72"/>
  <c r="F28" i="72"/>
  <c r="F27" i="72"/>
  <c r="P52" i="72"/>
  <c r="P88" i="72"/>
  <c r="P82" i="72"/>
  <c r="P89" i="72"/>
  <c r="E28" i="72"/>
  <c r="E27" i="72"/>
  <c r="C27" i="72"/>
  <c r="P39" i="72"/>
  <c r="M27" i="72"/>
  <c r="P84" i="72"/>
  <c r="P83" i="72"/>
  <c r="P90" i="72"/>
  <c r="P53" i="72"/>
  <c r="B47" i="72"/>
  <c r="B61" i="72"/>
  <c r="D28" i="72"/>
  <c r="D27" i="72"/>
  <c r="P87" i="72"/>
  <c r="L27" i="72"/>
  <c r="J28" i="72"/>
  <c r="P85" i="72"/>
  <c r="P86" i="72"/>
  <c r="P152" i="71"/>
  <c r="P151" i="71"/>
  <c r="P127" i="71"/>
  <c r="P154" i="71"/>
  <c r="P150" i="71"/>
  <c r="P128" i="71"/>
  <c r="P64" i="71"/>
  <c r="P63" i="71"/>
  <c r="P146" i="71"/>
  <c r="P144" i="71"/>
  <c r="M79" i="72" l="1"/>
  <c r="G118" i="71"/>
  <c r="P118" i="71" s="1"/>
  <c r="E95" i="72"/>
  <c r="B95" i="72"/>
  <c r="F95" i="72"/>
  <c r="M29" i="73"/>
  <c r="L95" i="72"/>
  <c r="K95" i="72"/>
  <c r="K46" i="72"/>
  <c r="K61" i="72"/>
  <c r="K47" i="72"/>
  <c r="K60" i="72"/>
  <c r="K48" i="72"/>
  <c r="K62" i="72"/>
  <c r="C46" i="72"/>
  <c r="C61" i="72"/>
  <c r="C62" i="72"/>
  <c r="C47" i="72"/>
  <c r="C60" i="72"/>
  <c r="C48" i="72"/>
  <c r="I63" i="72"/>
  <c r="I48" i="72"/>
  <c r="I61" i="72"/>
  <c r="I46" i="72"/>
  <c r="I47" i="72"/>
  <c r="I60" i="72"/>
  <c r="I62" i="72"/>
  <c r="O46" i="72"/>
  <c r="O62" i="72"/>
  <c r="O47" i="72"/>
  <c r="O60" i="72"/>
  <c r="O48" i="72"/>
  <c r="O61" i="72"/>
  <c r="G46" i="72"/>
  <c r="G48" i="72"/>
  <c r="G47" i="72"/>
  <c r="G60" i="72"/>
  <c r="G61" i="72"/>
  <c r="G62" i="72"/>
  <c r="H63" i="72"/>
  <c r="H62" i="72"/>
  <c r="H48" i="72"/>
  <c r="H61" i="72"/>
  <c r="H46" i="72"/>
  <c r="H47" i="72"/>
  <c r="H60" i="72"/>
  <c r="D75" i="71"/>
  <c r="D71" i="71"/>
  <c r="D68" i="72"/>
  <c r="D98" i="72"/>
  <c r="D77" i="71"/>
  <c r="G63" i="72"/>
  <c r="H97" i="72"/>
  <c r="H26" i="72"/>
  <c r="O63" i="72"/>
  <c r="K63" i="72"/>
  <c r="C63" i="72"/>
  <c r="I26" i="72"/>
  <c r="I95" i="72" s="1"/>
  <c r="I97" i="72"/>
  <c r="M77" i="73"/>
  <c r="K33" i="73"/>
  <c r="L100" i="72"/>
  <c r="P27" i="72"/>
  <c r="P28" i="72"/>
  <c r="J100" i="72"/>
  <c r="E100" i="72"/>
  <c r="P96" i="72"/>
  <c r="P50" i="72"/>
  <c r="M100" i="72"/>
  <c r="N100" i="72"/>
  <c r="B100" i="72"/>
  <c r="F100" i="72"/>
  <c r="C101" i="73" l="1"/>
  <c r="C67" i="73"/>
  <c r="P97" i="72"/>
  <c r="P26" i="72"/>
  <c r="K100" i="72"/>
  <c r="G100" i="72"/>
  <c r="O100" i="72"/>
  <c r="C100" i="72"/>
  <c r="M33" i="73"/>
  <c r="H100" i="72"/>
  <c r="P61" i="72"/>
  <c r="P47" i="72"/>
  <c r="P48" i="72"/>
  <c r="P62" i="72"/>
  <c r="P46" i="72"/>
  <c r="P60" i="72"/>
  <c r="I100" i="72"/>
  <c r="D100" i="72"/>
  <c r="D136" i="71"/>
  <c r="C92" i="74" l="1"/>
  <c r="C65" i="74"/>
  <c r="P100" i="72"/>
  <c r="P112" i="70" l="1"/>
  <c r="P111" i="70"/>
  <c r="P110" i="70"/>
  <c r="P109" i="70"/>
  <c r="P108" i="70"/>
  <c r="P107" i="70"/>
  <c r="P106" i="70"/>
  <c r="P105" i="70"/>
  <c r="P104" i="70"/>
  <c r="P103" i="70"/>
  <c r="P102" i="70"/>
  <c r="P101" i="70"/>
  <c r="P100" i="70"/>
  <c r="P99" i="70"/>
  <c r="P98" i="70"/>
  <c r="P97" i="70"/>
  <c r="P96" i="70"/>
  <c r="P95" i="70"/>
  <c r="P94" i="70"/>
  <c r="P93" i="70"/>
  <c r="P92" i="70"/>
  <c r="C108" i="74"/>
  <c r="K108" i="74"/>
  <c r="O120" i="72" l="1"/>
  <c r="L117" i="73" s="1"/>
  <c r="D120" i="72"/>
  <c r="C117" i="73" s="1"/>
  <c r="AA39" i="70"/>
  <c r="AA40" i="70"/>
  <c r="AA41" i="70"/>
  <c r="AA42" i="70"/>
  <c r="AA43" i="70"/>
  <c r="AA44" i="70"/>
  <c r="AA45" i="70"/>
  <c r="AA46" i="70"/>
  <c r="AA47" i="70"/>
  <c r="AA48" i="70"/>
  <c r="AA49" i="70"/>
  <c r="AA50" i="70"/>
  <c r="AA51" i="70"/>
  <c r="AA52" i="70"/>
  <c r="AA53" i="70"/>
  <c r="AA54" i="70"/>
  <c r="AA55" i="70"/>
  <c r="AA56" i="70"/>
  <c r="AA57" i="70"/>
  <c r="AA58" i="70"/>
  <c r="AA59" i="70"/>
  <c r="AA60" i="70"/>
  <c r="AA61" i="70"/>
  <c r="AA62" i="70"/>
  <c r="AA63" i="70"/>
  <c r="AA64" i="70"/>
  <c r="AA65" i="70"/>
  <c r="AA66" i="70"/>
  <c r="AA67" i="70"/>
  <c r="AA68" i="70"/>
  <c r="AA69" i="70"/>
  <c r="AA70" i="70"/>
  <c r="AA71" i="70"/>
  <c r="AA72" i="70"/>
  <c r="AA73" i="70"/>
  <c r="AA74" i="70"/>
  <c r="AA75" i="70"/>
  <c r="AA76" i="70"/>
  <c r="AA77" i="70"/>
  <c r="AA78" i="70"/>
  <c r="AA79" i="70"/>
  <c r="AA80" i="70"/>
  <c r="AA81" i="70"/>
  <c r="AA82" i="70"/>
  <c r="AA83" i="70"/>
  <c r="AA84" i="70"/>
  <c r="AA85" i="70"/>
  <c r="AA86" i="70"/>
  <c r="AA38" i="70"/>
  <c r="N128" i="68"/>
  <c r="N171" i="70" s="1"/>
  <c r="N173" i="71" s="1"/>
  <c r="M128" i="68"/>
  <c r="M171" i="70" s="1"/>
  <c r="M173" i="71" s="1"/>
  <c r="L128" i="68"/>
  <c r="L171" i="70" s="1"/>
  <c r="L173" i="71" s="1"/>
  <c r="K128" i="68"/>
  <c r="K171" i="70" s="1"/>
  <c r="K173" i="71" s="1"/>
  <c r="J128" i="68"/>
  <c r="J171" i="70" s="1"/>
  <c r="J173" i="71" s="1"/>
  <c r="F128" i="68"/>
  <c r="F171" i="70" s="1"/>
  <c r="F173" i="71" s="1"/>
  <c r="E128" i="68"/>
  <c r="E171" i="70" s="1"/>
  <c r="E173" i="71" s="1"/>
  <c r="C128" i="68"/>
  <c r="C171" i="70" s="1"/>
  <c r="C173" i="71" s="1"/>
  <c r="B128" i="68"/>
  <c r="B171" i="70" s="1"/>
  <c r="B173" i="71" s="1"/>
  <c r="N127" i="68"/>
  <c r="N170" i="70" s="1"/>
  <c r="M127" i="68"/>
  <c r="M170" i="70" s="1"/>
  <c r="L127" i="68"/>
  <c r="L170" i="70" s="1"/>
  <c r="K127" i="68"/>
  <c r="K170" i="70" s="1"/>
  <c r="J127" i="68"/>
  <c r="J170" i="70" s="1"/>
  <c r="F127" i="68"/>
  <c r="F170" i="70" s="1"/>
  <c r="E127" i="68"/>
  <c r="E170" i="70" s="1"/>
  <c r="C127" i="68"/>
  <c r="C170" i="70" s="1"/>
  <c r="B127" i="68"/>
  <c r="B170" i="70" s="1"/>
  <c r="N129" i="68"/>
  <c r="N172" i="70" s="1"/>
  <c r="N174" i="71" s="1"/>
  <c r="M129" i="68"/>
  <c r="M172" i="70" s="1"/>
  <c r="M174" i="71" s="1"/>
  <c r="L129" i="68"/>
  <c r="L172" i="70" s="1"/>
  <c r="L174" i="71" s="1"/>
  <c r="K129" i="68"/>
  <c r="K172" i="70" s="1"/>
  <c r="K174" i="71" s="1"/>
  <c r="J129" i="68"/>
  <c r="J172" i="70" s="1"/>
  <c r="J174" i="71" s="1"/>
  <c r="F129" i="68"/>
  <c r="F172" i="70" s="1"/>
  <c r="F174" i="71" s="1"/>
  <c r="E129" i="68"/>
  <c r="E172" i="70" s="1"/>
  <c r="E174" i="71" s="1"/>
  <c r="C129" i="68"/>
  <c r="C172" i="70" s="1"/>
  <c r="C174" i="71" s="1"/>
  <c r="B129" i="68"/>
  <c r="B172" i="70" s="1"/>
  <c r="B174" i="71" s="1"/>
  <c r="N126" i="68"/>
  <c r="N169" i="70" s="1"/>
  <c r="M126" i="68"/>
  <c r="M169" i="70" s="1"/>
  <c r="L126" i="68"/>
  <c r="L169" i="70" s="1"/>
  <c r="K126" i="68"/>
  <c r="K169" i="70" s="1"/>
  <c r="J126" i="68"/>
  <c r="J169" i="70" s="1"/>
  <c r="F126" i="68"/>
  <c r="F169" i="70" s="1"/>
  <c r="E126" i="68"/>
  <c r="E169" i="70" s="1"/>
  <c r="C126" i="68"/>
  <c r="C169" i="70" s="1"/>
  <c r="B126" i="68"/>
  <c r="B169" i="70" s="1"/>
  <c r="N125" i="68"/>
  <c r="N168" i="70" s="1"/>
  <c r="M125" i="68"/>
  <c r="M168" i="70" s="1"/>
  <c r="L125" i="68"/>
  <c r="L168" i="70" s="1"/>
  <c r="K125" i="68"/>
  <c r="K168" i="70" s="1"/>
  <c r="J125" i="68"/>
  <c r="J168" i="70" s="1"/>
  <c r="F125" i="68"/>
  <c r="F168" i="70" s="1"/>
  <c r="E125" i="68"/>
  <c r="E168" i="70" s="1"/>
  <c r="C125" i="68"/>
  <c r="C168" i="70" s="1"/>
  <c r="N170" i="71" l="1"/>
  <c r="C172" i="71"/>
  <c r="C123" i="71" s="1"/>
  <c r="K172" i="71"/>
  <c r="K123" i="71" s="1"/>
  <c r="J170" i="71"/>
  <c r="E172" i="71"/>
  <c r="E123" i="71" s="1"/>
  <c r="L172" i="71"/>
  <c r="L123" i="71" s="1"/>
  <c r="K170" i="71"/>
  <c r="L170" i="71"/>
  <c r="F172" i="71"/>
  <c r="F123" i="71" s="1"/>
  <c r="M172" i="71"/>
  <c r="M123" i="71" s="1"/>
  <c r="C170" i="71"/>
  <c r="E170" i="71"/>
  <c r="F170" i="71"/>
  <c r="M170" i="71"/>
  <c r="B172" i="71"/>
  <c r="B123" i="71" s="1"/>
  <c r="J172" i="71"/>
  <c r="J123" i="71" s="1"/>
  <c r="N172" i="71"/>
  <c r="N123" i="71" s="1"/>
  <c r="M116" i="70"/>
  <c r="M82" i="70" s="1"/>
  <c r="M171" i="71"/>
  <c r="B116" i="70"/>
  <c r="B171" i="71"/>
  <c r="C116" i="70"/>
  <c r="C171" i="71"/>
  <c r="K116" i="70"/>
  <c r="K171" i="71"/>
  <c r="F116" i="70"/>
  <c r="F171" i="71"/>
  <c r="J116" i="70"/>
  <c r="J82" i="70" s="1"/>
  <c r="J171" i="71"/>
  <c r="N116" i="70"/>
  <c r="N82" i="70" s="1"/>
  <c r="N171" i="71"/>
  <c r="E116" i="70"/>
  <c r="E82" i="70" s="1"/>
  <c r="E171" i="71"/>
  <c r="L116" i="70"/>
  <c r="L171" i="71"/>
  <c r="F82" i="68"/>
  <c r="M82" i="68"/>
  <c r="B82" i="68"/>
  <c r="J82" i="68"/>
  <c r="N82" i="68"/>
  <c r="C82" i="68"/>
  <c r="K82" i="68"/>
  <c r="E82" i="68"/>
  <c r="L82" i="68"/>
  <c r="C141" i="70"/>
  <c r="D141" i="70"/>
  <c r="E141" i="70"/>
  <c r="F141" i="70"/>
  <c r="G141" i="70"/>
  <c r="H141" i="70"/>
  <c r="I141" i="70"/>
  <c r="J141" i="70"/>
  <c r="K141" i="70"/>
  <c r="L141" i="70"/>
  <c r="M141" i="70"/>
  <c r="N141" i="70"/>
  <c r="O141" i="70"/>
  <c r="C142" i="70"/>
  <c r="D142" i="70"/>
  <c r="E142" i="70"/>
  <c r="F142" i="70"/>
  <c r="G142" i="70"/>
  <c r="H142" i="70"/>
  <c r="I142" i="70"/>
  <c r="J142" i="70"/>
  <c r="K142" i="70"/>
  <c r="L142" i="70"/>
  <c r="M142" i="70"/>
  <c r="N142" i="70"/>
  <c r="O142" i="70"/>
  <c r="C143" i="70"/>
  <c r="D143" i="70"/>
  <c r="E143" i="70"/>
  <c r="F143" i="70"/>
  <c r="G143" i="70"/>
  <c r="H143" i="70"/>
  <c r="I143" i="70"/>
  <c r="J143" i="70"/>
  <c r="K143" i="70"/>
  <c r="L143" i="70"/>
  <c r="M143" i="70"/>
  <c r="N143" i="70"/>
  <c r="O143" i="70"/>
  <c r="C144" i="70"/>
  <c r="D144" i="70"/>
  <c r="E144" i="70"/>
  <c r="F144" i="70"/>
  <c r="G144" i="70"/>
  <c r="H144" i="70"/>
  <c r="I144" i="70"/>
  <c r="J144" i="70"/>
  <c r="K144" i="70"/>
  <c r="L144" i="70"/>
  <c r="M144" i="70"/>
  <c r="N144" i="70"/>
  <c r="O144" i="70"/>
  <c r="C145" i="70"/>
  <c r="D145" i="70"/>
  <c r="E145" i="70"/>
  <c r="F145" i="70"/>
  <c r="G145" i="70"/>
  <c r="H145" i="70"/>
  <c r="I145" i="70"/>
  <c r="J145" i="70"/>
  <c r="K145" i="70"/>
  <c r="L145" i="70"/>
  <c r="M145" i="70"/>
  <c r="N145" i="70"/>
  <c r="O145" i="70"/>
  <c r="C147" i="70"/>
  <c r="D147" i="70"/>
  <c r="E147" i="70"/>
  <c r="F147" i="70"/>
  <c r="G147" i="70"/>
  <c r="H147" i="70"/>
  <c r="I147" i="70"/>
  <c r="J147" i="70"/>
  <c r="K147" i="70"/>
  <c r="L147" i="70"/>
  <c r="M147" i="70"/>
  <c r="N147" i="70"/>
  <c r="O147" i="70"/>
  <c r="C148" i="70"/>
  <c r="D148" i="70"/>
  <c r="E148" i="70"/>
  <c r="F148" i="70"/>
  <c r="G148" i="70"/>
  <c r="H148" i="70"/>
  <c r="I148" i="70"/>
  <c r="J148" i="70"/>
  <c r="K148" i="70"/>
  <c r="L148" i="70"/>
  <c r="M148" i="70"/>
  <c r="N148" i="70"/>
  <c r="O148" i="70"/>
  <c r="C149" i="70"/>
  <c r="C153" i="70" s="1"/>
  <c r="D149" i="70"/>
  <c r="E149" i="70"/>
  <c r="E153" i="70" s="1"/>
  <c r="F149" i="70"/>
  <c r="F153" i="70" s="1"/>
  <c r="G149" i="70"/>
  <c r="G153" i="70" s="1"/>
  <c r="H149" i="70"/>
  <c r="H153" i="70" s="1"/>
  <c r="I149" i="70"/>
  <c r="I153" i="70" s="1"/>
  <c r="J149" i="70"/>
  <c r="J153" i="70" s="1"/>
  <c r="K149" i="70"/>
  <c r="K153" i="70" s="1"/>
  <c r="L149" i="70"/>
  <c r="L153" i="70" s="1"/>
  <c r="M149" i="70"/>
  <c r="M153" i="70" s="1"/>
  <c r="N149" i="70"/>
  <c r="N153" i="70" s="1"/>
  <c r="O149" i="70"/>
  <c r="O153" i="70" s="1"/>
  <c r="C150" i="70"/>
  <c r="D150" i="70"/>
  <c r="E150" i="70"/>
  <c r="F150" i="70"/>
  <c r="G150" i="70"/>
  <c r="H150" i="70"/>
  <c r="I150" i="70"/>
  <c r="J150" i="70"/>
  <c r="K150" i="70"/>
  <c r="L150" i="70"/>
  <c r="M150" i="70"/>
  <c r="N150" i="70"/>
  <c r="O150" i="70"/>
  <c r="C151" i="70"/>
  <c r="D151" i="70"/>
  <c r="E151" i="70"/>
  <c r="F151" i="70"/>
  <c r="G151" i="70"/>
  <c r="H151" i="70"/>
  <c r="I151" i="70"/>
  <c r="J151" i="70"/>
  <c r="K151" i="70"/>
  <c r="L151" i="70"/>
  <c r="M151" i="70"/>
  <c r="N151" i="70"/>
  <c r="O151" i="70"/>
  <c r="B151" i="70"/>
  <c r="B150" i="70"/>
  <c r="B149" i="70"/>
  <c r="B153" i="70" s="1"/>
  <c r="B148" i="70"/>
  <c r="B147" i="70"/>
  <c r="B145" i="70"/>
  <c r="B144" i="70"/>
  <c r="B143" i="70"/>
  <c r="B142" i="70"/>
  <c r="B141" i="70"/>
  <c r="P79" i="70"/>
  <c r="O19" i="70"/>
  <c r="O180" i="70" s="1"/>
  <c r="N19" i="70"/>
  <c r="N180" i="70" s="1"/>
  <c r="M19" i="70"/>
  <c r="M180" i="70" s="1"/>
  <c r="L19" i="70"/>
  <c r="L180" i="70" s="1"/>
  <c r="K19" i="70"/>
  <c r="K180" i="70" s="1"/>
  <c r="J19" i="70"/>
  <c r="J180" i="70" s="1"/>
  <c r="I19" i="70"/>
  <c r="H19" i="70"/>
  <c r="G19" i="70"/>
  <c r="F19" i="70"/>
  <c r="F180" i="70" s="1"/>
  <c r="E19" i="70"/>
  <c r="E180" i="70" s="1"/>
  <c r="C19" i="70"/>
  <c r="C180" i="70" s="1"/>
  <c r="B19" i="70"/>
  <c r="B180" i="70" s="1"/>
  <c r="N18" i="70"/>
  <c r="L18" i="70"/>
  <c r="K18" i="70"/>
  <c r="I18" i="70"/>
  <c r="F18" i="70"/>
  <c r="E18" i="70"/>
  <c r="C18" i="70"/>
  <c r="B18" i="70"/>
  <c r="O16" i="70"/>
  <c r="O120" i="70" s="1"/>
  <c r="N16" i="70"/>
  <c r="N118" i="70" s="1"/>
  <c r="M16" i="70"/>
  <c r="M118" i="70" s="1"/>
  <c r="L16" i="70"/>
  <c r="L118" i="70" s="1"/>
  <c r="K16" i="70"/>
  <c r="K120" i="70" s="1"/>
  <c r="J16" i="70"/>
  <c r="J120" i="70" s="1"/>
  <c r="I16" i="70"/>
  <c r="I120" i="70" s="1"/>
  <c r="H16" i="70"/>
  <c r="H120" i="70" s="1"/>
  <c r="G16" i="70"/>
  <c r="G120" i="70" s="1"/>
  <c r="F16" i="70"/>
  <c r="F120" i="70" s="1"/>
  <c r="E16" i="70"/>
  <c r="E120" i="70" s="1"/>
  <c r="C16" i="70"/>
  <c r="C120" i="70" s="1"/>
  <c r="B16" i="70"/>
  <c r="B120" i="70" s="1"/>
  <c r="O14" i="70"/>
  <c r="N14" i="70"/>
  <c r="M14" i="70"/>
  <c r="L14" i="70"/>
  <c r="K14" i="70"/>
  <c r="J14" i="70"/>
  <c r="I14" i="70"/>
  <c r="H14" i="70"/>
  <c r="G14" i="70"/>
  <c r="F14" i="70"/>
  <c r="E14" i="70"/>
  <c r="C14" i="70"/>
  <c r="B14" i="70"/>
  <c r="O8" i="70"/>
  <c r="N8" i="70"/>
  <c r="M8" i="70"/>
  <c r="L8" i="70"/>
  <c r="K8" i="70"/>
  <c r="J8" i="70"/>
  <c r="I8" i="70"/>
  <c r="H8" i="70"/>
  <c r="G8" i="70"/>
  <c r="F8" i="70"/>
  <c r="E8" i="70"/>
  <c r="D8" i="70"/>
  <c r="C8" i="70"/>
  <c r="B8" i="70"/>
  <c r="B125" i="68"/>
  <c r="B168" i="70" s="1"/>
  <c r="P68" i="68"/>
  <c r="O18" i="68"/>
  <c r="O97" i="68" s="1"/>
  <c r="N18" i="68"/>
  <c r="M18" i="68"/>
  <c r="L18" i="68"/>
  <c r="K18" i="68"/>
  <c r="J18" i="68"/>
  <c r="I18" i="68"/>
  <c r="H18" i="68"/>
  <c r="G18" i="68"/>
  <c r="F18" i="68"/>
  <c r="E18" i="68"/>
  <c r="C18" i="68"/>
  <c r="B18" i="68"/>
  <c r="N17" i="68"/>
  <c r="L17" i="68"/>
  <c r="K17" i="68"/>
  <c r="I17" i="68"/>
  <c r="F17" i="68"/>
  <c r="E17" i="68"/>
  <c r="C17" i="68"/>
  <c r="B17" i="68"/>
  <c r="O16" i="68"/>
  <c r="N16" i="68"/>
  <c r="M16" i="68"/>
  <c r="L16" i="68"/>
  <c r="K16" i="68"/>
  <c r="J16" i="68"/>
  <c r="I16" i="68"/>
  <c r="H16" i="68"/>
  <c r="H51" i="68" s="1"/>
  <c r="G16" i="68"/>
  <c r="H91" i="68" s="1"/>
  <c r="F16" i="68"/>
  <c r="E16" i="68"/>
  <c r="C16" i="68"/>
  <c r="B16" i="68"/>
  <c r="O15" i="68"/>
  <c r="N15" i="68"/>
  <c r="M15" i="68"/>
  <c r="L15" i="68"/>
  <c r="K15" i="68"/>
  <c r="J15" i="68"/>
  <c r="I15" i="68"/>
  <c r="H15" i="68"/>
  <c r="G15" i="68"/>
  <c r="F15" i="68"/>
  <c r="E15" i="68"/>
  <c r="C15" i="68"/>
  <c r="B15" i="68"/>
  <c r="O14" i="68"/>
  <c r="N14" i="68"/>
  <c r="M14" i="68"/>
  <c r="L14" i="68"/>
  <c r="K14" i="68"/>
  <c r="J14" i="68"/>
  <c r="I14" i="68"/>
  <c r="H14" i="68"/>
  <c r="G14" i="68"/>
  <c r="F14" i="68"/>
  <c r="E14" i="68"/>
  <c r="C14" i="68"/>
  <c r="B14" i="68"/>
  <c r="O8" i="68"/>
  <c r="N8" i="68"/>
  <c r="M8" i="68"/>
  <c r="L8" i="68"/>
  <c r="K8" i="68"/>
  <c r="J8" i="68"/>
  <c r="I8" i="68"/>
  <c r="H8" i="68"/>
  <c r="G8" i="68"/>
  <c r="F8" i="68"/>
  <c r="E8" i="68"/>
  <c r="D8" i="68"/>
  <c r="C8" i="68"/>
  <c r="B8" i="68"/>
  <c r="L120" i="70" l="1"/>
  <c r="N120" i="70"/>
  <c r="M120" i="70"/>
  <c r="O118" i="70"/>
  <c r="O15" i="70"/>
  <c r="P123" i="71"/>
  <c r="M121" i="71"/>
  <c r="F121" i="71"/>
  <c r="E121" i="71"/>
  <c r="J121" i="71"/>
  <c r="L121" i="71"/>
  <c r="K121" i="71"/>
  <c r="C121" i="71"/>
  <c r="N121" i="71"/>
  <c r="D157" i="71"/>
  <c r="B170" i="71"/>
  <c r="B121" i="71" s="1"/>
  <c r="B118" i="70"/>
  <c r="H118" i="70"/>
  <c r="E118" i="70"/>
  <c r="J118" i="70"/>
  <c r="I118" i="70"/>
  <c r="D153" i="70"/>
  <c r="D156" i="71" s="1"/>
  <c r="P120" i="70"/>
  <c r="F118" i="70"/>
  <c r="C118" i="70"/>
  <c r="K118" i="70"/>
  <c r="G118" i="70"/>
  <c r="E119" i="71"/>
  <c r="K119" i="71"/>
  <c r="M119" i="71"/>
  <c r="J119" i="71"/>
  <c r="F119" i="71"/>
  <c r="B119" i="71"/>
  <c r="L119" i="71"/>
  <c r="C119" i="71"/>
  <c r="N119" i="71"/>
  <c r="O73" i="70"/>
  <c r="L73" i="70"/>
  <c r="N73" i="70"/>
  <c r="M73" i="70"/>
  <c r="J73" i="70"/>
  <c r="B73" i="70"/>
  <c r="K73" i="70"/>
  <c r="C73" i="70"/>
  <c r="O178" i="70"/>
  <c r="O85" i="70"/>
  <c r="E179" i="70"/>
  <c r="I179" i="70"/>
  <c r="I129" i="70" s="1"/>
  <c r="M179" i="70"/>
  <c r="B179" i="70"/>
  <c r="F179" i="70"/>
  <c r="J179" i="70"/>
  <c r="N179" i="70"/>
  <c r="C179" i="70"/>
  <c r="G179" i="70"/>
  <c r="G129" i="70" s="1"/>
  <c r="K179" i="70"/>
  <c r="O179" i="70"/>
  <c r="H179" i="70"/>
  <c r="H129" i="70" s="1"/>
  <c r="L179" i="70"/>
  <c r="E22" i="70"/>
  <c r="E21" i="70"/>
  <c r="I22" i="70"/>
  <c r="I21" i="70"/>
  <c r="M22" i="70"/>
  <c r="M21" i="70"/>
  <c r="B21" i="70"/>
  <c r="B22" i="70"/>
  <c r="F22" i="70"/>
  <c r="F21" i="70"/>
  <c r="J22" i="70"/>
  <c r="J21" i="70"/>
  <c r="N22" i="70"/>
  <c r="N21" i="70"/>
  <c r="C21" i="70"/>
  <c r="C22" i="70"/>
  <c r="G22" i="70"/>
  <c r="G21" i="70"/>
  <c r="K21" i="70"/>
  <c r="K22" i="70"/>
  <c r="O22" i="70"/>
  <c r="O21" i="70"/>
  <c r="O121" i="70"/>
  <c r="H59" i="70"/>
  <c r="H21" i="70"/>
  <c r="H22" i="70"/>
  <c r="L21" i="70"/>
  <c r="L22" i="70"/>
  <c r="G36" i="70"/>
  <c r="C36" i="70"/>
  <c r="C35" i="70"/>
  <c r="F36" i="70"/>
  <c r="F35" i="70"/>
  <c r="J35" i="70"/>
  <c r="N36" i="70"/>
  <c r="N35" i="70"/>
  <c r="K71" i="68"/>
  <c r="K72" i="68"/>
  <c r="B71" i="68"/>
  <c r="B72" i="68"/>
  <c r="C71" i="68"/>
  <c r="C72" i="68"/>
  <c r="M71" i="68"/>
  <c r="M72" i="68"/>
  <c r="L71" i="68"/>
  <c r="L72" i="68"/>
  <c r="N71" i="68"/>
  <c r="N72" i="68"/>
  <c r="F71" i="68"/>
  <c r="F72" i="68"/>
  <c r="B36" i="70"/>
  <c r="B35" i="70"/>
  <c r="H36" i="70"/>
  <c r="H35" i="70"/>
  <c r="I36" i="70"/>
  <c r="I35" i="70"/>
  <c r="M35" i="70"/>
  <c r="E71" i="68"/>
  <c r="E72" i="68"/>
  <c r="J71" i="68"/>
  <c r="J72" i="68"/>
  <c r="F49" i="68"/>
  <c r="G49" i="68"/>
  <c r="H89" i="68"/>
  <c r="F138" i="68"/>
  <c r="F137" i="68"/>
  <c r="N138" i="68"/>
  <c r="N137" i="68"/>
  <c r="E89" i="68"/>
  <c r="M36" i="70"/>
  <c r="M89" i="68"/>
  <c r="O137" i="68"/>
  <c r="O138" i="68"/>
  <c r="O95" i="68"/>
  <c r="O87" i="68"/>
  <c r="O88" i="68"/>
  <c r="O96" i="68"/>
  <c r="F89" i="68"/>
  <c r="J89" i="68"/>
  <c r="J36" i="70"/>
  <c r="N89" i="68"/>
  <c r="C137" i="68"/>
  <c r="C138" i="68"/>
  <c r="L137" i="68"/>
  <c r="L138" i="68"/>
  <c r="C89" i="68"/>
  <c r="L36" i="70"/>
  <c r="L89" i="68"/>
  <c r="L35" i="70"/>
  <c r="J138" i="68"/>
  <c r="J137" i="68"/>
  <c r="I89" i="68"/>
  <c r="B137" i="68"/>
  <c r="B138" i="68"/>
  <c r="K137" i="68"/>
  <c r="K138" i="68"/>
  <c r="B89" i="68"/>
  <c r="G89" i="68"/>
  <c r="G35" i="70"/>
  <c r="K89" i="68"/>
  <c r="K35" i="70"/>
  <c r="O89" i="68"/>
  <c r="E138" i="68"/>
  <c r="E137" i="68"/>
  <c r="M138" i="68"/>
  <c r="M137" i="68"/>
  <c r="J20" i="68"/>
  <c r="J21" i="68"/>
  <c r="B21" i="68"/>
  <c r="B20" i="68"/>
  <c r="G20" i="68"/>
  <c r="G21" i="68"/>
  <c r="K20" i="68"/>
  <c r="K21" i="68"/>
  <c r="O20" i="68"/>
  <c r="O21" i="68"/>
  <c r="C20" i="68"/>
  <c r="C21" i="68"/>
  <c r="H20" i="68"/>
  <c r="H21" i="68"/>
  <c r="L20" i="68"/>
  <c r="L21" i="68"/>
  <c r="F20" i="68"/>
  <c r="F21" i="68"/>
  <c r="N20" i="68"/>
  <c r="N21" i="68"/>
  <c r="E20" i="68"/>
  <c r="E21" i="68"/>
  <c r="I20" i="68"/>
  <c r="I21" i="68"/>
  <c r="M20" i="68"/>
  <c r="M21" i="68"/>
  <c r="H90" i="68"/>
  <c r="H50" i="68"/>
  <c r="D124" i="72"/>
  <c r="C121" i="73" s="1"/>
  <c r="D123" i="72"/>
  <c r="C120" i="73" s="1"/>
  <c r="H34" i="70"/>
  <c r="E90" i="68"/>
  <c r="E62" i="68" s="1"/>
  <c r="F90" i="68"/>
  <c r="F62" i="68" s="1"/>
  <c r="N43" i="70"/>
  <c r="I43" i="70"/>
  <c r="P143" i="70"/>
  <c r="P147" i="70"/>
  <c r="P151" i="70"/>
  <c r="P148" i="70"/>
  <c r="P141" i="70"/>
  <c r="P145" i="70"/>
  <c r="P149" i="70"/>
  <c r="P144" i="70"/>
  <c r="P142" i="70"/>
  <c r="P146" i="70"/>
  <c r="P150" i="70"/>
  <c r="O35" i="70"/>
  <c r="E36" i="70"/>
  <c r="E35" i="70"/>
  <c r="O36" i="70"/>
  <c r="K36" i="70"/>
  <c r="C90" i="68"/>
  <c r="C62" i="68" s="1"/>
  <c r="B90" i="68"/>
  <c r="B62" i="68" s="1"/>
  <c r="O131" i="70" l="1"/>
  <c r="O117" i="70"/>
  <c r="E87" i="71"/>
  <c r="M87" i="71"/>
  <c r="N87" i="71"/>
  <c r="P119" i="71"/>
  <c r="J87" i="71"/>
  <c r="P121" i="71"/>
  <c r="O69" i="70"/>
  <c r="O71" i="70"/>
  <c r="O54" i="70"/>
  <c r="O67" i="70"/>
  <c r="O52" i="70"/>
  <c r="O50" i="70"/>
  <c r="I49" i="70"/>
  <c r="I53" i="70"/>
  <c r="O129" i="70"/>
  <c r="O130" i="70"/>
  <c r="P71" i="68"/>
  <c r="K43" i="70"/>
  <c r="L43" i="70"/>
  <c r="O32" i="70"/>
  <c r="O31" i="70"/>
  <c r="O26" i="70"/>
  <c r="O27" i="70"/>
  <c r="O25" i="70"/>
  <c r="P22" i="70"/>
  <c r="P21" i="70"/>
  <c r="O45" i="68"/>
  <c r="O59" i="68"/>
  <c r="O30" i="68"/>
  <c r="O31" i="68"/>
  <c r="O29" i="68"/>
  <c r="O46" i="68"/>
  <c r="O44" i="68"/>
  <c r="O26" i="68"/>
  <c r="O24" i="68"/>
  <c r="O25" i="68"/>
  <c r="P20" i="68"/>
  <c r="P21" i="68"/>
  <c r="O58" i="68"/>
  <c r="O60" i="68"/>
  <c r="O156" i="71"/>
  <c r="O157" i="71"/>
  <c r="P59" i="70"/>
  <c r="D116" i="72"/>
  <c r="O117" i="72"/>
  <c r="M94" i="71"/>
  <c r="M29" i="71" s="1"/>
  <c r="P29" i="71" s="1"/>
  <c r="M93" i="71"/>
  <c r="M28" i="71" s="1"/>
  <c r="F124" i="70"/>
  <c r="F73" i="70" s="1"/>
  <c r="E124" i="70"/>
  <c r="E73" i="70" s="1"/>
  <c r="M28" i="70"/>
  <c r="M29" i="70"/>
  <c r="P29" i="70" s="1"/>
  <c r="D30" i="71"/>
  <c r="G31" i="71"/>
  <c r="O30" i="71"/>
  <c r="O31" i="71"/>
  <c r="F31" i="71"/>
  <c r="E31" i="71"/>
  <c r="L31" i="71"/>
  <c r="D31" i="71"/>
  <c r="C31" i="71"/>
  <c r="N31" i="71"/>
  <c r="I31" i="71"/>
  <c r="H31" i="71"/>
  <c r="K31" i="71"/>
  <c r="B31" i="71"/>
  <c r="M31" i="71"/>
  <c r="J31" i="71"/>
  <c r="P36" i="70"/>
  <c r="P35" i="70"/>
  <c r="O39" i="70"/>
  <c r="O40" i="70"/>
  <c r="O30" i="70"/>
  <c r="P115" i="70"/>
  <c r="P116" i="70"/>
  <c r="P118" i="70"/>
  <c r="O34" i="68"/>
  <c r="O35" i="68"/>
  <c r="P81" i="68"/>
  <c r="P50" i="68"/>
  <c r="P90" i="68"/>
  <c r="P51" i="68"/>
  <c r="P83" i="68"/>
  <c r="P82" i="68"/>
  <c r="P84" i="68"/>
  <c r="P91" i="68"/>
  <c r="O51" i="70" l="1"/>
  <c r="O57" i="71" s="1"/>
  <c r="O68" i="70"/>
  <c r="O74" i="71" s="1"/>
  <c r="P28" i="70"/>
  <c r="O49" i="70"/>
  <c r="O55" i="71" s="1"/>
  <c r="O136" i="71" s="1"/>
  <c r="O53" i="70"/>
  <c r="O59" i="71" s="1"/>
  <c r="O66" i="70"/>
  <c r="O72" i="71" s="1"/>
  <c r="O70" i="70"/>
  <c r="O76" i="71" s="1"/>
  <c r="O116" i="72"/>
  <c r="O73" i="72" s="1"/>
  <c r="O94" i="68"/>
  <c r="O61" i="68"/>
  <c r="P72" i="68"/>
  <c r="H70" i="70"/>
  <c r="H49" i="70"/>
  <c r="H66" i="70"/>
  <c r="H53" i="70"/>
  <c r="G49" i="70"/>
  <c r="G66" i="70"/>
  <c r="G53" i="70"/>
  <c r="G70" i="70"/>
  <c r="I70" i="70"/>
  <c r="I66" i="70"/>
  <c r="P91" i="70"/>
  <c r="C113" i="73"/>
  <c r="D73" i="72"/>
  <c r="L114" i="73"/>
  <c r="K112" i="74" s="1"/>
  <c r="O72" i="72"/>
  <c r="P58" i="70"/>
  <c r="P125" i="70"/>
  <c r="P124" i="70"/>
  <c r="L94" i="72"/>
  <c r="L42" i="72"/>
  <c r="P31" i="71"/>
  <c r="K42" i="72"/>
  <c r="K94" i="72"/>
  <c r="E42" i="72"/>
  <c r="E94" i="72"/>
  <c r="F94" i="72"/>
  <c r="F42" i="72"/>
  <c r="I94" i="72"/>
  <c r="I42" i="72"/>
  <c r="B42" i="72"/>
  <c r="B94" i="72"/>
  <c r="P154" i="70"/>
  <c r="P153" i="70"/>
  <c r="O99" i="68"/>
  <c r="O72" i="70" l="1"/>
  <c r="O133" i="70"/>
  <c r="O139" i="70" s="1"/>
  <c r="L113" i="73"/>
  <c r="K111" i="74" s="1"/>
  <c r="P34" i="70"/>
  <c r="D97" i="73"/>
  <c r="D41" i="73"/>
  <c r="C111" i="74"/>
  <c r="C104" i="74"/>
  <c r="L71" i="73"/>
  <c r="K105" i="74"/>
  <c r="C72" i="73"/>
  <c r="K104" i="74" l="1"/>
  <c r="L72" i="73"/>
  <c r="B145" i="66"/>
  <c r="C145" i="66"/>
  <c r="D145" i="66"/>
  <c r="E145" i="66"/>
  <c r="F145" i="66"/>
  <c r="G145" i="66"/>
  <c r="I145" i="66"/>
  <c r="J145" i="66"/>
  <c r="K145" i="66"/>
  <c r="L145" i="66"/>
  <c r="M145" i="66"/>
  <c r="N145" i="66"/>
  <c r="O145" i="66"/>
  <c r="O131" i="62"/>
  <c r="P131" i="62" s="1"/>
  <c r="O119" i="25"/>
  <c r="O128" i="50"/>
  <c r="O109" i="63"/>
  <c r="O27" i="25" l="1"/>
  <c r="P119" i="25"/>
  <c r="P113" i="64"/>
  <c r="N19" i="67"/>
  <c r="C18" i="67"/>
  <c r="E18" i="67"/>
  <c r="F18" i="67"/>
  <c r="G18" i="67"/>
  <c r="H101" i="67" s="1"/>
  <c r="H18" i="67"/>
  <c r="H54" i="67" s="1"/>
  <c r="I18" i="67"/>
  <c r="J18" i="67"/>
  <c r="K18" i="67"/>
  <c r="L18" i="67"/>
  <c r="M18" i="67"/>
  <c r="N18" i="67"/>
  <c r="O18" i="67"/>
  <c r="B18" i="67"/>
  <c r="N16" i="67"/>
  <c r="C15" i="67"/>
  <c r="E15" i="67"/>
  <c r="F15" i="67"/>
  <c r="G15" i="67"/>
  <c r="H15" i="67"/>
  <c r="I15" i="67"/>
  <c r="J15" i="67"/>
  <c r="K15" i="67"/>
  <c r="L15" i="67"/>
  <c r="M15" i="67"/>
  <c r="N15" i="67"/>
  <c r="O15" i="67"/>
  <c r="O97" i="67" s="1"/>
  <c r="B15" i="67"/>
  <c r="P71" i="67"/>
  <c r="O21" i="67"/>
  <c r="N21" i="67"/>
  <c r="M21" i="67"/>
  <c r="L21" i="67"/>
  <c r="K21" i="67"/>
  <c r="J21" i="67"/>
  <c r="I21" i="67"/>
  <c r="H21" i="67"/>
  <c r="G21" i="67"/>
  <c r="F21" i="67"/>
  <c r="E21" i="67"/>
  <c r="D21" i="67"/>
  <c r="D24" i="67" s="1"/>
  <c r="C21" i="67"/>
  <c r="B21" i="67"/>
  <c r="N20" i="67"/>
  <c r="L20" i="67"/>
  <c r="K20" i="67"/>
  <c r="I20" i="67"/>
  <c r="F20" i="67"/>
  <c r="E20" i="67"/>
  <c r="C20" i="67"/>
  <c r="B20" i="67"/>
  <c r="O17" i="67"/>
  <c r="N17" i="67"/>
  <c r="N91" i="67" s="1"/>
  <c r="M17" i="67"/>
  <c r="L17" i="67"/>
  <c r="K17" i="67"/>
  <c r="J17" i="67"/>
  <c r="I17" i="67"/>
  <c r="H17" i="67"/>
  <c r="G17" i="67"/>
  <c r="F17" i="67"/>
  <c r="E17" i="67"/>
  <c r="C17" i="67"/>
  <c r="B17" i="67"/>
  <c r="O149" i="67"/>
  <c r="O107" i="67" s="1"/>
  <c r="N14" i="67"/>
  <c r="M14" i="67"/>
  <c r="L14" i="67"/>
  <c r="K14" i="67"/>
  <c r="J14" i="67"/>
  <c r="I14" i="67"/>
  <c r="H14" i="67"/>
  <c r="G14" i="67"/>
  <c r="F14" i="67"/>
  <c r="E14" i="67"/>
  <c r="D14" i="67"/>
  <c r="C14" i="67"/>
  <c r="B14" i="67"/>
  <c r="O8" i="67"/>
  <c r="N8" i="67"/>
  <c r="M8" i="67"/>
  <c r="L8" i="67"/>
  <c r="K8" i="67"/>
  <c r="J8" i="67"/>
  <c r="I8" i="67"/>
  <c r="H8" i="67"/>
  <c r="G8" i="67"/>
  <c r="F8" i="67"/>
  <c r="E8" i="67"/>
  <c r="D8" i="67"/>
  <c r="C8" i="67"/>
  <c r="B8" i="67"/>
  <c r="H149" i="67" l="1"/>
  <c r="H13" i="68"/>
  <c r="H97" i="67"/>
  <c r="B149" i="67"/>
  <c r="B105" i="67" s="1"/>
  <c r="B47" i="67" s="1"/>
  <c r="B13" i="68"/>
  <c r="B97" i="67"/>
  <c r="F149" i="67"/>
  <c r="F107" i="67" s="1"/>
  <c r="F13" i="68"/>
  <c r="F97" i="67"/>
  <c r="J149" i="67"/>
  <c r="J107" i="67" s="1"/>
  <c r="J13" i="68"/>
  <c r="J97" i="67"/>
  <c r="N149" i="67"/>
  <c r="N13" i="68"/>
  <c r="N97" i="67"/>
  <c r="D149" i="67"/>
  <c r="D27" i="67" s="1"/>
  <c r="D104" i="67" s="1"/>
  <c r="D97" i="67"/>
  <c r="L149" i="67"/>
  <c r="L13" i="68"/>
  <c r="L97" i="67"/>
  <c r="E149" i="67"/>
  <c r="E13" i="68"/>
  <c r="E97" i="67"/>
  <c r="I149" i="67"/>
  <c r="I151" i="67" s="1"/>
  <c r="I106" i="67" s="1"/>
  <c r="I13" i="68"/>
  <c r="I97" i="67"/>
  <c r="M149" i="67"/>
  <c r="M106" i="67" s="1"/>
  <c r="M13" i="68"/>
  <c r="M97" i="67"/>
  <c r="B41" i="67"/>
  <c r="C149" i="67"/>
  <c r="C106" i="67" s="1"/>
  <c r="C13" i="68"/>
  <c r="C97" i="67"/>
  <c r="G149" i="67"/>
  <c r="G107" i="67" s="1"/>
  <c r="G13" i="68"/>
  <c r="G97" i="67"/>
  <c r="K149" i="67"/>
  <c r="K107" i="67" s="1"/>
  <c r="K13" i="68"/>
  <c r="K97" i="67"/>
  <c r="O93" i="67"/>
  <c r="O91" i="67"/>
  <c r="D65" i="67"/>
  <c r="D151" i="67"/>
  <c r="D150" i="67"/>
  <c r="H151" i="67"/>
  <c r="H106" i="67" s="1"/>
  <c r="H150" i="67"/>
  <c r="H41" i="67"/>
  <c r="H52" i="67" s="1"/>
  <c r="L65" i="67"/>
  <c r="L151" i="67"/>
  <c r="L150" i="67"/>
  <c r="M105" i="67"/>
  <c r="M47" i="67" s="1"/>
  <c r="E105" i="67"/>
  <c r="E47" i="67" s="1"/>
  <c r="E106" i="67"/>
  <c r="E151" i="67"/>
  <c r="E150" i="67"/>
  <c r="E41" i="67"/>
  <c r="M65" i="67"/>
  <c r="M151" i="67"/>
  <c r="M150" i="67"/>
  <c r="L105" i="67"/>
  <c r="L47" i="67" s="1"/>
  <c r="L106" i="67"/>
  <c r="H105" i="67"/>
  <c r="H47" i="67" s="1"/>
  <c r="B150" i="67"/>
  <c r="F151" i="67"/>
  <c r="F150" i="67"/>
  <c r="J65" i="67"/>
  <c r="J150" i="67"/>
  <c r="J151" i="67"/>
  <c r="N65" i="67"/>
  <c r="N150" i="67"/>
  <c r="N151" i="67"/>
  <c r="O106" i="67"/>
  <c r="O105" i="67"/>
  <c r="O47" i="67" s="1"/>
  <c r="K106" i="67"/>
  <c r="K105" i="67"/>
  <c r="K47" i="67" s="1"/>
  <c r="C150" i="67"/>
  <c r="C151" i="67"/>
  <c r="C41" i="67"/>
  <c r="C52" i="67" s="1"/>
  <c r="G150" i="67"/>
  <c r="G105" i="67" s="1"/>
  <c r="G47" i="67" s="1"/>
  <c r="G151" i="67"/>
  <c r="G106" i="67" s="1"/>
  <c r="K65" i="67"/>
  <c r="K150" i="67"/>
  <c r="K151" i="67"/>
  <c r="O65" i="67"/>
  <c r="O150" i="67"/>
  <c r="O151" i="67"/>
  <c r="N106" i="67"/>
  <c r="N105" i="67"/>
  <c r="N47" i="67" s="1"/>
  <c r="J106" i="67"/>
  <c r="J105" i="67"/>
  <c r="J47" i="67" s="1"/>
  <c r="F106" i="67"/>
  <c r="F105" i="67"/>
  <c r="F47" i="67" s="1"/>
  <c r="E107" i="67"/>
  <c r="L107" i="67"/>
  <c r="I65" i="67"/>
  <c r="G65" i="67"/>
  <c r="H107" i="67"/>
  <c r="N107" i="67"/>
  <c r="N77" i="67"/>
  <c r="D23" i="67"/>
  <c r="B151" i="67"/>
  <c r="F99" i="67"/>
  <c r="F93" i="67"/>
  <c r="J99" i="67"/>
  <c r="J93" i="67"/>
  <c r="N99" i="67"/>
  <c r="N93" i="67"/>
  <c r="M95" i="67"/>
  <c r="I95" i="67"/>
  <c r="E95" i="67"/>
  <c r="E27" i="67" s="1"/>
  <c r="B99" i="67"/>
  <c r="B93" i="67"/>
  <c r="B91" i="67"/>
  <c r="G99" i="67"/>
  <c r="G93" i="67"/>
  <c r="K99" i="67"/>
  <c r="K93" i="67"/>
  <c r="B95" i="67"/>
  <c r="L95" i="67"/>
  <c r="L27" i="67" s="1"/>
  <c r="H95" i="67"/>
  <c r="H27" i="67" s="1"/>
  <c r="C95" i="67"/>
  <c r="C99" i="67"/>
  <c r="C93" i="67"/>
  <c r="H99" i="67"/>
  <c r="H93" i="67"/>
  <c r="L99" i="67"/>
  <c r="L93" i="67"/>
  <c r="O95" i="67"/>
  <c r="K95" i="67"/>
  <c r="G95" i="67"/>
  <c r="E99" i="67"/>
  <c r="E93" i="67"/>
  <c r="I99" i="67"/>
  <c r="I93" i="67"/>
  <c r="M99" i="67"/>
  <c r="M93" i="67"/>
  <c r="N95" i="67"/>
  <c r="J95" i="67"/>
  <c r="F95" i="67"/>
  <c r="H24" i="67"/>
  <c r="H23" i="67"/>
  <c r="L23" i="67"/>
  <c r="L24" i="67"/>
  <c r="E23" i="67"/>
  <c r="E24" i="67"/>
  <c r="I23" i="67"/>
  <c r="I24" i="67"/>
  <c r="M23" i="67"/>
  <c r="M24" i="67"/>
  <c r="B23" i="67"/>
  <c r="B24" i="67"/>
  <c r="F23" i="67"/>
  <c r="F24" i="67"/>
  <c r="J23" i="67"/>
  <c r="J24" i="67"/>
  <c r="N23" i="67"/>
  <c r="N24" i="67"/>
  <c r="C23" i="67"/>
  <c r="C24" i="67"/>
  <c r="G23" i="67"/>
  <c r="G24" i="67"/>
  <c r="K24" i="67"/>
  <c r="K23" i="67"/>
  <c r="O23" i="67"/>
  <c r="O24" i="67"/>
  <c r="O99" i="67"/>
  <c r="N98" i="67"/>
  <c r="H53" i="67"/>
  <c r="H100" i="67"/>
  <c r="E100" i="67"/>
  <c r="E65" i="67" s="1"/>
  <c r="F100" i="67"/>
  <c r="F65" i="67" s="1"/>
  <c r="C100" i="67"/>
  <c r="C65" i="67" s="1"/>
  <c r="B100" i="67"/>
  <c r="B65" i="67" s="1"/>
  <c r="I107" i="67" l="1"/>
  <c r="I150" i="67"/>
  <c r="I105" i="67" s="1"/>
  <c r="I47" i="67" s="1"/>
  <c r="C13" i="70"/>
  <c r="C136" i="68"/>
  <c r="C88" i="68"/>
  <c r="C96" i="68"/>
  <c r="C38" i="68"/>
  <c r="C49" i="68" s="1"/>
  <c r="C95" i="68"/>
  <c r="C87" i="68"/>
  <c r="M13" i="70"/>
  <c r="M136" i="68"/>
  <c r="M96" i="68"/>
  <c r="M95" i="68"/>
  <c r="M87" i="68"/>
  <c r="M88" i="68"/>
  <c r="G13" i="70"/>
  <c r="G136" i="68"/>
  <c r="G62" i="68"/>
  <c r="G87" i="68"/>
  <c r="G88" i="68"/>
  <c r="L13" i="70"/>
  <c r="L160" i="70" s="1"/>
  <c r="L136" i="68"/>
  <c r="L96" i="68"/>
  <c r="L95" i="68"/>
  <c r="L87" i="68"/>
  <c r="L88" i="68"/>
  <c r="J13" i="70"/>
  <c r="J136" i="68"/>
  <c r="J87" i="68"/>
  <c r="J88" i="68"/>
  <c r="J95" i="68"/>
  <c r="J96" i="68"/>
  <c r="I27" i="67"/>
  <c r="C77" i="67"/>
  <c r="C105" i="67"/>
  <c r="C47" i="67" s="1"/>
  <c r="K13" i="70"/>
  <c r="K160" i="70" s="1"/>
  <c r="K136" i="68"/>
  <c r="K95" i="68"/>
  <c r="K87" i="68"/>
  <c r="K88" i="68"/>
  <c r="K96" i="68"/>
  <c r="E13" i="70"/>
  <c r="E136" i="68"/>
  <c r="E96" i="68"/>
  <c r="E95" i="68"/>
  <c r="E38" i="68"/>
  <c r="E49" i="68" s="1"/>
  <c r="E87" i="68"/>
  <c r="E88" i="68"/>
  <c r="N13" i="70"/>
  <c r="N136" i="68"/>
  <c r="N87" i="68"/>
  <c r="N88" i="68"/>
  <c r="N95" i="68"/>
  <c r="N96" i="68"/>
  <c r="H13" i="70"/>
  <c r="H160" i="70" s="1"/>
  <c r="H136" i="68"/>
  <c r="H87" i="68"/>
  <c r="H88" i="68"/>
  <c r="H38" i="68"/>
  <c r="H49" i="68" s="1"/>
  <c r="H62" i="68"/>
  <c r="H48" i="68" s="1"/>
  <c r="P48" i="68" s="1"/>
  <c r="F13" i="70"/>
  <c r="F136" i="68"/>
  <c r="F87" i="68"/>
  <c r="F88" i="68"/>
  <c r="F95" i="68"/>
  <c r="F96" i="68"/>
  <c r="M27" i="67"/>
  <c r="B107" i="67"/>
  <c r="C107" i="67"/>
  <c r="M107" i="67"/>
  <c r="B106" i="67"/>
  <c r="B62" i="67" s="1"/>
  <c r="I13" i="70"/>
  <c r="I136" i="68"/>
  <c r="I87" i="68"/>
  <c r="I88" i="68"/>
  <c r="B13" i="70"/>
  <c r="B136" i="68"/>
  <c r="B38" i="68"/>
  <c r="B49" i="68" s="1"/>
  <c r="B88" i="68"/>
  <c r="B87" i="68"/>
  <c r="B95" i="68"/>
  <c r="B96" i="68"/>
  <c r="I48" i="67"/>
  <c r="I62" i="67"/>
  <c r="H48" i="67"/>
  <c r="H62" i="67"/>
  <c r="G48" i="67"/>
  <c r="G62" i="67"/>
  <c r="C62" i="67"/>
  <c r="C48" i="67"/>
  <c r="M62" i="67"/>
  <c r="M48" i="67"/>
  <c r="F62" i="67"/>
  <c r="F48" i="67"/>
  <c r="N62" i="67"/>
  <c r="N48" i="67"/>
  <c r="K48" i="67"/>
  <c r="K62" i="67"/>
  <c r="E52" i="67"/>
  <c r="J62" i="67"/>
  <c r="J48" i="67"/>
  <c r="O62" i="67"/>
  <c r="O48" i="67"/>
  <c r="E48" i="67"/>
  <c r="E62" i="67"/>
  <c r="L48" i="67"/>
  <c r="L62" i="67"/>
  <c r="H65" i="67"/>
  <c r="H51" i="67" s="1"/>
  <c r="H91" i="67"/>
  <c r="H87" i="67"/>
  <c r="F27" i="67"/>
  <c r="F29" i="67"/>
  <c r="F31" i="67"/>
  <c r="O27" i="67"/>
  <c r="O31" i="67"/>
  <c r="O29" i="67"/>
  <c r="N87" i="67"/>
  <c r="L31" i="67"/>
  <c r="L29" i="67"/>
  <c r="O89" i="67"/>
  <c r="O87" i="67"/>
  <c r="J89" i="67"/>
  <c r="J91" i="67"/>
  <c r="J87" i="67"/>
  <c r="E89" i="67"/>
  <c r="E87" i="67"/>
  <c r="E91" i="67"/>
  <c r="J27" i="67"/>
  <c r="J29" i="67"/>
  <c r="J31" i="67"/>
  <c r="K27" i="67"/>
  <c r="K31" i="67"/>
  <c r="K29" i="67"/>
  <c r="E29" i="67"/>
  <c r="E31" i="67"/>
  <c r="M29" i="67"/>
  <c r="M31" i="67"/>
  <c r="G27" i="67"/>
  <c r="G31" i="67"/>
  <c r="G29" i="67"/>
  <c r="M87" i="67"/>
  <c r="M91" i="67"/>
  <c r="M89" i="67"/>
  <c r="K91" i="67"/>
  <c r="K87" i="67"/>
  <c r="K89" i="67"/>
  <c r="F89" i="67"/>
  <c r="F91" i="67"/>
  <c r="F87" i="67"/>
  <c r="L87" i="67"/>
  <c r="L91" i="67"/>
  <c r="L89" i="67"/>
  <c r="C27" i="67"/>
  <c r="C31" i="67"/>
  <c r="C29" i="67"/>
  <c r="B27" i="67"/>
  <c r="B29" i="67"/>
  <c r="B31" i="67"/>
  <c r="C91" i="67"/>
  <c r="C89" i="67"/>
  <c r="C87" i="67"/>
  <c r="N27" i="67"/>
  <c r="N31" i="67"/>
  <c r="N29" i="67"/>
  <c r="H31" i="67"/>
  <c r="H29" i="67"/>
  <c r="I29" i="67"/>
  <c r="I31" i="67"/>
  <c r="P23" i="67"/>
  <c r="P24" i="67"/>
  <c r="F63" i="67"/>
  <c r="F49" i="67"/>
  <c r="F61" i="67"/>
  <c r="F64" i="67" s="1"/>
  <c r="D64" i="67"/>
  <c r="C61" i="67"/>
  <c r="C64" i="67" s="1"/>
  <c r="N63" i="67"/>
  <c r="N49" i="67"/>
  <c r="N61" i="67"/>
  <c r="N64" i="67" s="1"/>
  <c r="E63" i="67"/>
  <c r="E49" i="67"/>
  <c r="E61" i="67"/>
  <c r="E64" i="67" s="1"/>
  <c r="B49" i="67"/>
  <c r="B61" i="67"/>
  <c r="B64" i="67" s="1"/>
  <c r="B63" i="67"/>
  <c r="L49" i="67"/>
  <c r="L61" i="67"/>
  <c r="L64" i="67" s="1"/>
  <c r="L63" i="67"/>
  <c r="K61" i="67"/>
  <c r="K64" i="67" s="1"/>
  <c r="K63" i="67"/>
  <c r="K49" i="67"/>
  <c r="M63" i="67"/>
  <c r="M49" i="67"/>
  <c r="M61" i="67"/>
  <c r="M64" i="67" s="1"/>
  <c r="H49" i="67"/>
  <c r="H61" i="67"/>
  <c r="H64" i="67" s="1"/>
  <c r="H63" i="67"/>
  <c r="J63" i="67"/>
  <c r="J49" i="67"/>
  <c r="J61" i="67"/>
  <c r="J64" i="67" s="1"/>
  <c r="O61" i="67"/>
  <c r="O64" i="67" s="1"/>
  <c r="O63" i="67"/>
  <c r="O49" i="67"/>
  <c r="P94" i="71"/>
  <c r="P79" i="72"/>
  <c r="P89" i="70"/>
  <c r="P93" i="67"/>
  <c r="P100" i="67"/>
  <c r="P101" i="67"/>
  <c r="P54" i="67"/>
  <c r="P53" i="67"/>
  <c r="B94" i="66"/>
  <c r="B93" i="66"/>
  <c r="B134" i="66" s="1"/>
  <c r="B96" i="66"/>
  <c r="B95" i="66"/>
  <c r="J92" i="66"/>
  <c r="J134" i="66" s="1"/>
  <c r="J122" i="67" s="1"/>
  <c r="J112" i="68" s="1"/>
  <c r="B160" i="70" l="1"/>
  <c r="B15" i="70"/>
  <c r="H15" i="70"/>
  <c r="J15" i="70"/>
  <c r="C15" i="70"/>
  <c r="I15" i="70"/>
  <c r="G15" i="70"/>
  <c r="E15" i="70"/>
  <c r="M15" i="70"/>
  <c r="K15" i="70"/>
  <c r="F15" i="70"/>
  <c r="N15" i="70"/>
  <c r="L15" i="70"/>
  <c r="I13" i="71"/>
  <c r="I15" i="71" s="1"/>
  <c r="B158" i="70"/>
  <c r="B157" i="70"/>
  <c r="B160" i="71" s="1"/>
  <c r="B88" i="71" s="1"/>
  <c r="H13" i="71"/>
  <c r="H15" i="71" s="1"/>
  <c r="H158" i="70"/>
  <c r="H161" i="71" s="1"/>
  <c r="H157" i="70"/>
  <c r="H160" i="71" s="1"/>
  <c r="H88" i="71" s="1"/>
  <c r="J13" i="71"/>
  <c r="J180" i="71" s="1"/>
  <c r="J120" i="71" s="1"/>
  <c r="J158" i="70"/>
  <c r="J161" i="71" s="1"/>
  <c r="J157" i="70"/>
  <c r="J160" i="71" s="1"/>
  <c r="J88" i="71" s="1"/>
  <c r="C157" i="70"/>
  <c r="C158" i="70"/>
  <c r="C161" i="71" s="1"/>
  <c r="C162" i="71"/>
  <c r="C87" i="71" s="1"/>
  <c r="K157" i="70"/>
  <c r="K160" i="71" s="1"/>
  <c r="K88" i="71" s="1"/>
  <c r="K158" i="70"/>
  <c r="G13" i="71"/>
  <c r="G158" i="70"/>
  <c r="G161" i="71" s="1"/>
  <c r="G157" i="70"/>
  <c r="G160" i="71" s="1"/>
  <c r="G88" i="71" s="1"/>
  <c r="E158" i="70"/>
  <c r="E161" i="71" s="1"/>
  <c r="E157" i="70"/>
  <c r="E160" i="71" s="1"/>
  <c r="E88" i="71" s="1"/>
  <c r="M13" i="71"/>
  <c r="M15" i="71" s="1"/>
  <c r="M157" i="70"/>
  <c r="M158" i="70"/>
  <c r="F162" i="71"/>
  <c r="F87" i="71" s="1"/>
  <c r="F157" i="70"/>
  <c r="F160" i="71" s="1"/>
  <c r="F88" i="71" s="1"/>
  <c r="F158" i="70"/>
  <c r="F161" i="71" s="1"/>
  <c r="N13" i="71"/>
  <c r="N15" i="71" s="1"/>
  <c r="N157" i="70"/>
  <c r="N160" i="71" s="1"/>
  <c r="N88" i="71" s="1"/>
  <c r="N158" i="70"/>
  <c r="N161" i="71" s="1"/>
  <c r="L157" i="70"/>
  <c r="L160" i="71" s="1"/>
  <c r="L88" i="71" s="1"/>
  <c r="L158" i="70"/>
  <c r="I124" i="71"/>
  <c r="I78" i="71"/>
  <c r="I61" i="71" s="1"/>
  <c r="I125" i="71"/>
  <c r="C13" i="71"/>
  <c r="C15" i="71" s="1"/>
  <c r="C160" i="71"/>
  <c r="C88" i="71" s="1"/>
  <c r="B13" i="71"/>
  <c r="B15" i="71" s="1"/>
  <c r="E13" i="71"/>
  <c r="E15" i="71" s="1"/>
  <c r="K13" i="71"/>
  <c r="K15" i="71" s="1"/>
  <c r="K163" i="71"/>
  <c r="K87" i="71" s="1"/>
  <c r="F13" i="71"/>
  <c r="F15" i="71" s="1"/>
  <c r="N124" i="71"/>
  <c r="N125" i="71"/>
  <c r="L13" i="71"/>
  <c r="L15" i="71" s="1"/>
  <c r="L163" i="71"/>
  <c r="L87" i="71" s="1"/>
  <c r="B161" i="71"/>
  <c r="H163" i="71"/>
  <c r="H87" i="71" s="1"/>
  <c r="C161" i="70"/>
  <c r="K161" i="71"/>
  <c r="G161" i="70"/>
  <c r="E161" i="70"/>
  <c r="M161" i="70"/>
  <c r="M161" i="71"/>
  <c r="M160" i="71"/>
  <c r="M88" i="71" s="1"/>
  <c r="N161" i="70"/>
  <c r="L161" i="71"/>
  <c r="B122" i="67"/>
  <c r="P134" i="66"/>
  <c r="P78" i="68"/>
  <c r="M78" i="68"/>
  <c r="M28" i="68" s="1"/>
  <c r="P28" i="68" s="1"/>
  <c r="M77" i="68"/>
  <c r="M27" i="68" s="1"/>
  <c r="H161" i="70"/>
  <c r="K161" i="70"/>
  <c r="F161" i="70"/>
  <c r="L161" i="70"/>
  <c r="B48" i="67"/>
  <c r="F108" i="74"/>
  <c r="I120" i="72"/>
  <c r="G117" i="73" s="1"/>
  <c r="L104" i="67"/>
  <c r="H35" i="68"/>
  <c r="H29" i="68"/>
  <c r="H25" i="68"/>
  <c r="H31" i="68"/>
  <c r="H26" i="68"/>
  <c r="H34" i="68"/>
  <c r="H30" i="68"/>
  <c r="J178" i="70"/>
  <c r="J121" i="70"/>
  <c r="M59" i="68"/>
  <c r="M45" i="68"/>
  <c r="B44" i="68"/>
  <c r="B60" i="68"/>
  <c r="B46" i="68"/>
  <c r="B58" i="68"/>
  <c r="B97" i="68"/>
  <c r="B24" i="68"/>
  <c r="I138" i="68"/>
  <c r="I96" i="68" s="1"/>
  <c r="I137" i="68"/>
  <c r="I95" i="68" s="1"/>
  <c r="I97" i="68"/>
  <c r="I24" i="68"/>
  <c r="F31" i="68"/>
  <c r="F25" i="68"/>
  <c r="F30" i="68"/>
  <c r="F34" i="68"/>
  <c r="F29" i="68"/>
  <c r="F35" i="68"/>
  <c r="F26" i="68"/>
  <c r="H137" i="68"/>
  <c r="H95" i="68" s="1"/>
  <c r="H97" i="68"/>
  <c r="H138" i="68"/>
  <c r="H96" i="68" s="1"/>
  <c r="H24" i="68"/>
  <c r="N44" i="68"/>
  <c r="N60" i="68"/>
  <c r="N46" i="68"/>
  <c r="N58" i="68"/>
  <c r="N85" i="70"/>
  <c r="N121" i="70"/>
  <c r="N178" i="70"/>
  <c r="N117" i="70" s="1"/>
  <c r="E46" i="68"/>
  <c r="E60" i="68"/>
  <c r="E44" i="68"/>
  <c r="E58" i="68"/>
  <c r="K60" i="68"/>
  <c r="K46" i="68"/>
  <c r="K44" i="68"/>
  <c r="K58" i="68"/>
  <c r="L97" i="68"/>
  <c r="L24" i="68"/>
  <c r="G31" i="68"/>
  <c r="G29" i="68"/>
  <c r="G26" i="68"/>
  <c r="G34" i="68"/>
  <c r="G30" i="68"/>
  <c r="G25" i="68"/>
  <c r="G35" i="68"/>
  <c r="M97" i="68"/>
  <c r="M24" i="68"/>
  <c r="C121" i="70"/>
  <c r="C178" i="70"/>
  <c r="C43" i="70"/>
  <c r="C57" i="70" s="1"/>
  <c r="J46" i="68"/>
  <c r="J58" i="68"/>
  <c r="J44" i="68"/>
  <c r="J60" i="68"/>
  <c r="G178" i="70"/>
  <c r="G73" i="70"/>
  <c r="G43" i="70"/>
  <c r="G57" i="70" s="1"/>
  <c r="G121" i="70"/>
  <c r="C74" i="68"/>
  <c r="C97" i="68"/>
  <c r="C24" i="68"/>
  <c r="C49" i="67"/>
  <c r="B31" i="68"/>
  <c r="B34" i="68"/>
  <c r="B26" i="68"/>
  <c r="B29" i="68"/>
  <c r="B30" i="68"/>
  <c r="B25" i="68"/>
  <c r="B35" i="68"/>
  <c r="B43" i="70"/>
  <c r="B57" i="70" s="1"/>
  <c r="B178" i="70"/>
  <c r="B121" i="70"/>
  <c r="I178" i="70"/>
  <c r="I121" i="70"/>
  <c r="I73" i="70"/>
  <c r="F45" i="68"/>
  <c r="F59" i="68"/>
  <c r="F97" i="68"/>
  <c r="F24" i="68"/>
  <c r="H178" i="70"/>
  <c r="H117" i="70" s="1"/>
  <c r="H43" i="70"/>
  <c r="H57" i="70" s="1"/>
  <c r="H73" i="70"/>
  <c r="H56" i="70" s="1"/>
  <c r="P56" i="70" s="1"/>
  <c r="H121" i="70"/>
  <c r="E45" i="68"/>
  <c r="E59" i="68"/>
  <c r="K45" i="68"/>
  <c r="K59" i="68"/>
  <c r="K97" i="68"/>
  <c r="K24" i="68"/>
  <c r="J29" i="68"/>
  <c r="J25" i="68"/>
  <c r="J34" i="68"/>
  <c r="J26" i="68"/>
  <c r="J35" i="68"/>
  <c r="J31" i="68"/>
  <c r="J30" i="68"/>
  <c r="L31" i="68"/>
  <c r="L26" i="68"/>
  <c r="L35" i="68"/>
  <c r="L29" i="68"/>
  <c r="L25" i="68"/>
  <c r="L30" i="68"/>
  <c r="L34" i="68"/>
  <c r="L178" i="70"/>
  <c r="L121" i="70"/>
  <c r="P62" i="68"/>
  <c r="M25" i="68"/>
  <c r="M35" i="68"/>
  <c r="M29" i="68"/>
  <c r="M30" i="68"/>
  <c r="M26" i="68"/>
  <c r="M31" i="68"/>
  <c r="M34" i="68"/>
  <c r="M178" i="70"/>
  <c r="M117" i="70" s="1"/>
  <c r="M121" i="70"/>
  <c r="C45" i="68"/>
  <c r="C59" i="68"/>
  <c r="B45" i="68"/>
  <c r="B59" i="68"/>
  <c r="I25" i="68"/>
  <c r="I29" i="68"/>
  <c r="I26" i="68"/>
  <c r="I34" i="68"/>
  <c r="I31" i="68"/>
  <c r="I35" i="68"/>
  <c r="I30" i="68"/>
  <c r="N45" i="68"/>
  <c r="N59" i="68"/>
  <c r="N74" i="68"/>
  <c r="N97" i="68"/>
  <c r="N24" i="68"/>
  <c r="E43" i="70"/>
  <c r="E57" i="70" s="1"/>
  <c r="E121" i="70"/>
  <c r="E178" i="70"/>
  <c r="E117" i="70" s="1"/>
  <c r="K31" i="68"/>
  <c r="K34" i="68"/>
  <c r="K29" i="68"/>
  <c r="K25" i="68"/>
  <c r="K30" i="68"/>
  <c r="K26" i="68"/>
  <c r="K35" i="68"/>
  <c r="L45" i="68"/>
  <c r="L59" i="68"/>
  <c r="C60" i="68"/>
  <c r="C46" i="68"/>
  <c r="C58" i="68"/>
  <c r="C44" i="68"/>
  <c r="C63" i="67"/>
  <c r="I104" i="67"/>
  <c r="F44" i="68"/>
  <c r="F60" i="68"/>
  <c r="F46" i="68"/>
  <c r="F58" i="68"/>
  <c r="F121" i="70"/>
  <c r="F43" i="70"/>
  <c r="F57" i="70" s="1"/>
  <c r="F178" i="70"/>
  <c r="F117" i="70" s="1"/>
  <c r="N30" i="68"/>
  <c r="N26" i="68"/>
  <c r="N35" i="68"/>
  <c r="N29" i="68"/>
  <c r="N34" i="68"/>
  <c r="N31" i="68"/>
  <c r="N25" i="68"/>
  <c r="E31" i="68"/>
  <c r="E26" i="68"/>
  <c r="E29" i="68"/>
  <c r="E25" i="68"/>
  <c r="E34" i="68"/>
  <c r="E30" i="68"/>
  <c r="E35" i="68"/>
  <c r="E97" i="68"/>
  <c r="E24" i="68"/>
  <c r="K121" i="70"/>
  <c r="K178" i="70"/>
  <c r="J45" i="68"/>
  <c r="J59" i="68"/>
  <c r="J97" i="68"/>
  <c r="J24" i="68"/>
  <c r="L44" i="68"/>
  <c r="L60" i="68"/>
  <c r="L46" i="68"/>
  <c r="L58" i="68"/>
  <c r="G97" i="68"/>
  <c r="G137" i="68"/>
  <c r="G95" i="68" s="1"/>
  <c r="G138" i="68"/>
  <c r="G96" i="68" s="1"/>
  <c r="G24" i="68"/>
  <c r="G94" i="68" s="1"/>
  <c r="M46" i="68"/>
  <c r="M58" i="68"/>
  <c r="M44" i="68"/>
  <c r="M60" i="68"/>
  <c r="C30" i="68"/>
  <c r="C25" i="68"/>
  <c r="C31" i="68"/>
  <c r="C34" i="68"/>
  <c r="C26" i="68"/>
  <c r="C35" i="68"/>
  <c r="C29" i="68"/>
  <c r="H104" i="67"/>
  <c r="N80" i="67"/>
  <c r="N88" i="67"/>
  <c r="P88" i="67" s="1"/>
  <c r="I110" i="67"/>
  <c r="I111" i="67" s="1"/>
  <c r="H110" i="67"/>
  <c r="H111" i="67" s="1"/>
  <c r="K104" i="67"/>
  <c r="C104" i="67"/>
  <c r="G104" i="67"/>
  <c r="P65" i="67"/>
  <c r="J104" i="67"/>
  <c r="F104" i="67"/>
  <c r="O104" i="67"/>
  <c r="H89" i="67"/>
  <c r="H75" i="67" s="1"/>
  <c r="P106" i="67"/>
  <c r="L75" i="67"/>
  <c r="L74" i="67"/>
  <c r="O74" i="67"/>
  <c r="O75" i="67"/>
  <c r="C75" i="67"/>
  <c r="C74" i="67"/>
  <c r="E74" i="67"/>
  <c r="E75" i="67"/>
  <c r="F74" i="67"/>
  <c r="F75" i="67"/>
  <c r="M74" i="67"/>
  <c r="M75" i="67"/>
  <c r="K74" i="67"/>
  <c r="K75" i="67"/>
  <c r="J74" i="67"/>
  <c r="J75" i="67"/>
  <c r="N74" i="67"/>
  <c r="N75" i="67"/>
  <c r="N81" i="67"/>
  <c r="N35" i="67" s="1"/>
  <c r="G91" i="67"/>
  <c r="G89" i="67"/>
  <c r="G87" i="67"/>
  <c r="I49" i="67"/>
  <c r="I87" i="67"/>
  <c r="I89" i="67"/>
  <c r="I91" i="67"/>
  <c r="I63" i="67"/>
  <c r="P93" i="71"/>
  <c r="M30" i="72"/>
  <c r="P78" i="72"/>
  <c r="P88" i="70"/>
  <c r="H109" i="67"/>
  <c r="K43" i="67"/>
  <c r="P51" i="67"/>
  <c r="L103" i="67"/>
  <c r="L43" i="67"/>
  <c r="C103" i="67"/>
  <c r="C43" i="67"/>
  <c r="K103" i="67"/>
  <c r="P96" i="66"/>
  <c r="P95" i="66"/>
  <c r="P94" i="66"/>
  <c r="P93" i="66"/>
  <c r="P92" i="66"/>
  <c r="J117" i="70" l="1"/>
  <c r="K117" i="70"/>
  <c r="L117" i="70"/>
  <c r="M125" i="71"/>
  <c r="H124" i="71"/>
  <c r="H40" i="71" s="1"/>
  <c r="M124" i="71"/>
  <c r="M27" i="71" s="1"/>
  <c r="H180" i="71"/>
  <c r="H120" i="71" s="1"/>
  <c r="I180" i="71"/>
  <c r="I120" i="71" s="1"/>
  <c r="L69" i="70"/>
  <c r="L52" i="70"/>
  <c r="L71" i="70"/>
  <c r="L54" i="70"/>
  <c r="L67" i="70"/>
  <c r="L50" i="70"/>
  <c r="F69" i="70"/>
  <c r="F67" i="70"/>
  <c r="F50" i="70"/>
  <c r="F71" i="70"/>
  <c r="F52" i="70"/>
  <c r="F54" i="70"/>
  <c r="M52" i="70"/>
  <c r="M54" i="70"/>
  <c r="M71" i="70"/>
  <c r="M69" i="70"/>
  <c r="M67" i="70"/>
  <c r="M50" i="70"/>
  <c r="G71" i="70"/>
  <c r="G69" i="70"/>
  <c r="G52" i="70"/>
  <c r="G54" i="70"/>
  <c r="G67" i="70"/>
  <c r="G50" i="70"/>
  <c r="C50" i="70"/>
  <c r="C54" i="70"/>
  <c r="C52" i="70"/>
  <c r="C71" i="70"/>
  <c r="C69" i="70"/>
  <c r="C67" i="70"/>
  <c r="H69" i="70"/>
  <c r="H67" i="70"/>
  <c r="H54" i="70"/>
  <c r="H71" i="70"/>
  <c r="H50" i="70"/>
  <c r="H52" i="70"/>
  <c r="M180" i="71"/>
  <c r="M120" i="71" s="1"/>
  <c r="H78" i="71"/>
  <c r="H61" i="71" s="1"/>
  <c r="H125" i="71"/>
  <c r="N69" i="70"/>
  <c r="N67" i="70"/>
  <c r="N52" i="70"/>
  <c r="N71" i="70"/>
  <c r="N54" i="70"/>
  <c r="N50" i="70"/>
  <c r="K69" i="70"/>
  <c r="K52" i="70"/>
  <c r="K71" i="70"/>
  <c r="K54" i="70"/>
  <c r="K50" i="70"/>
  <c r="K67" i="70"/>
  <c r="E67" i="70"/>
  <c r="E50" i="70"/>
  <c r="E71" i="70"/>
  <c r="E52" i="70"/>
  <c r="E54" i="70"/>
  <c r="E69" i="70"/>
  <c r="I71" i="70"/>
  <c r="I54" i="70"/>
  <c r="I50" i="70"/>
  <c r="I67" i="70"/>
  <c r="I52" i="70"/>
  <c r="I69" i="70"/>
  <c r="J69" i="70"/>
  <c r="J67" i="70"/>
  <c r="J50" i="70"/>
  <c r="J71" i="70"/>
  <c r="J52" i="70"/>
  <c r="J54" i="70"/>
  <c r="B50" i="70"/>
  <c r="B67" i="70"/>
  <c r="B71" i="70"/>
  <c r="B54" i="70"/>
  <c r="B69" i="70"/>
  <c r="B52" i="70"/>
  <c r="N180" i="71"/>
  <c r="N120" i="71" s="1"/>
  <c r="G124" i="71"/>
  <c r="G32" i="71" s="1"/>
  <c r="G15" i="71"/>
  <c r="J125" i="71"/>
  <c r="J15" i="71"/>
  <c r="G180" i="71"/>
  <c r="G120" i="71" s="1"/>
  <c r="H55" i="71"/>
  <c r="H72" i="71"/>
  <c r="H76" i="71"/>
  <c r="H59" i="71"/>
  <c r="I72" i="71"/>
  <c r="I55" i="71"/>
  <c r="I76" i="71"/>
  <c r="I59" i="71"/>
  <c r="G125" i="71"/>
  <c r="G78" i="71"/>
  <c r="P78" i="71" s="1"/>
  <c r="J124" i="71"/>
  <c r="J34" i="71" s="1"/>
  <c r="F157" i="71"/>
  <c r="F30" i="71"/>
  <c r="F156" i="71"/>
  <c r="E156" i="71"/>
  <c r="E35" i="71" s="1"/>
  <c r="E30" i="71"/>
  <c r="E157" i="71"/>
  <c r="L156" i="71"/>
  <c r="L157" i="71"/>
  <c r="L30" i="71"/>
  <c r="B84" i="70"/>
  <c r="B117" i="70"/>
  <c r="C85" i="70"/>
  <c r="C117" i="70"/>
  <c r="M157" i="71"/>
  <c r="M30" i="71"/>
  <c r="M156" i="71"/>
  <c r="H156" i="71"/>
  <c r="H35" i="71" s="1"/>
  <c r="H30" i="71"/>
  <c r="H157" i="71"/>
  <c r="I180" i="70"/>
  <c r="I130" i="70" s="1"/>
  <c r="I68" i="70" s="1"/>
  <c r="I74" i="71" s="1"/>
  <c r="I117" i="70"/>
  <c r="G180" i="70"/>
  <c r="G130" i="70" s="1"/>
  <c r="G68" i="70" s="1"/>
  <c r="G117" i="70"/>
  <c r="K157" i="71"/>
  <c r="K36" i="71" s="1"/>
  <c r="P36" i="71" s="1"/>
  <c r="K156" i="71"/>
  <c r="K30" i="71"/>
  <c r="N156" i="71"/>
  <c r="N30" i="71"/>
  <c r="N157" i="71"/>
  <c r="J157" i="71"/>
  <c r="J156" i="71"/>
  <c r="J30" i="71"/>
  <c r="C180" i="71"/>
  <c r="C120" i="71" s="1"/>
  <c r="C124" i="71"/>
  <c r="C125" i="71"/>
  <c r="H180" i="70"/>
  <c r="H130" i="70" s="1"/>
  <c r="H68" i="70" s="1"/>
  <c r="H74" i="71" s="1"/>
  <c r="H84" i="70"/>
  <c r="F164" i="71"/>
  <c r="D108" i="74" s="1"/>
  <c r="N27" i="71"/>
  <c r="N26" i="71"/>
  <c r="N32" i="71"/>
  <c r="N40" i="71"/>
  <c r="N34" i="71"/>
  <c r="N39" i="71"/>
  <c r="N33" i="71"/>
  <c r="G61" i="71"/>
  <c r="P61" i="71" s="1"/>
  <c r="B163" i="71"/>
  <c r="B87" i="71" s="1"/>
  <c r="B82" i="70"/>
  <c r="E164" i="71"/>
  <c r="E120" i="72" s="1"/>
  <c r="D117" i="73" s="1"/>
  <c r="M26" i="71"/>
  <c r="M40" i="71"/>
  <c r="M34" i="71"/>
  <c r="K164" i="71"/>
  <c r="H108" i="74" s="1"/>
  <c r="N164" i="71"/>
  <c r="N120" i="72" s="1"/>
  <c r="M164" i="71"/>
  <c r="J108" i="74" s="1"/>
  <c r="N134" i="71"/>
  <c r="N90" i="71"/>
  <c r="K180" i="71"/>
  <c r="K120" i="71" s="1"/>
  <c r="K124" i="71"/>
  <c r="K125" i="71"/>
  <c r="E180" i="71"/>
  <c r="E120" i="71" s="1"/>
  <c r="E125" i="71"/>
  <c r="E124" i="71"/>
  <c r="G40" i="71"/>
  <c r="B180" i="71"/>
  <c r="B120" i="71" s="1"/>
  <c r="B125" i="71"/>
  <c r="B124" i="71"/>
  <c r="H26" i="71"/>
  <c r="I40" i="71"/>
  <c r="I32" i="71"/>
  <c r="I39" i="71"/>
  <c r="I34" i="71"/>
  <c r="I26" i="71"/>
  <c r="I33" i="71"/>
  <c r="I27" i="71"/>
  <c r="L164" i="71"/>
  <c r="I108" i="74" s="1"/>
  <c r="H164" i="71"/>
  <c r="H120" i="72" s="1"/>
  <c r="J164" i="71"/>
  <c r="J120" i="72" s="1"/>
  <c r="H117" i="73" s="1"/>
  <c r="G164" i="71"/>
  <c r="G120" i="72" s="1"/>
  <c r="F117" i="73" s="1"/>
  <c r="C164" i="71"/>
  <c r="C120" i="72" s="1"/>
  <c r="L180" i="71"/>
  <c r="L120" i="71" s="1"/>
  <c r="L124" i="71"/>
  <c r="L125" i="71"/>
  <c r="F180" i="71"/>
  <c r="F120" i="71" s="1"/>
  <c r="F124" i="71"/>
  <c r="F125" i="71"/>
  <c r="J132" i="71"/>
  <c r="J133" i="71"/>
  <c r="J90" i="71"/>
  <c r="J134" i="71"/>
  <c r="I134" i="71"/>
  <c r="I182" i="71"/>
  <c r="I133" i="71" s="1"/>
  <c r="I181" i="71"/>
  <c r="I132" i="71" s="1"/>
  <c r="I90" i="71"/>
  <c r="I25" i="71"/>
  <c r="C130" i="70"/>
  <c r="C68" i="70" s="1"/>
  <c r="C74" i="71" s="1"/>
  <c r="C129" i="70"/>
  <c r="N129" i="70"/>
  <c r="N130" i="70"/>
  <c r="E129" i="70"/>
  <c r="E130" i="70"/>
  <c r="L129" i="70"/>
  <c r="L130" i="70"/>
  <c r="B129" i="70"/>
  <c r="B130" i="70"/>
  <c r="F130" i="70"/>
  <c r="F129" i="70"/>
  <c r="K130" i="70"/>
  <c r="K68" i="70" s="1"/>
  <c r="K74" i="71" s="1"/>
  <c r="K129" i="70"/>
  <c r="M129" i="70"/>
  <c r="M130" i="70"/>
  <c r="J129" i="70"/>
  <c r="J130" i="70"/>
  <c r="B112" i="68"/>
  <c r="P122" i="67"/>
  <c r="P160" i="70"/>
  <c r="F82" i="70"/>
  <c r="F118" i="72"/>
  <c r="E115" i="73" s="1"/>
  <c r="L82" i="70"/>
  <c r="K82" i="70"/>
  <c r="H82" i="70"/>
  <c r="H119" i="72"/>
  <c r="P33" i="70"/>
  <c r="P90" i="70"/>
  <c r="P95" i="68"/>
  <c r="H94" i="68"/>
  <c r="J94" i="68"/>
  <c r="P73" i="70"/>
  <c r="P29" i="68"/>
  <c r="G27" i="70"/>
  <c r="G31" i="70"/>
  <c r="G32" i="70"/>
  <c r="G39" i="70"/>
  <c r="G30" i="70"/>
  <c r="G40" i="70"/>
  <c r="G26" i="70"/>
  <c r="C131" i="70"/>
  <c r="C25" i="70"/>
  <c r="C117" i="72"/>
  <c r="C72" i="72" s="1"/>
  <c r="N32" i="70"/>
  <c r="N39" i="70"/>
  <c r="N31" i="70"/>
  <c r="N40" i="70"/>
  <c r="N27" i="70"/>
  <c r="N26" i="70"/>
  <c r="N30" i="70"/>
  <c r="H46" i="68"/>
  <c r="H58" i="68"/>
  <c r="H60" i="68"/>
  <c r="H44" i="68"/>
  <c r="I45" i="68"/>
  <c r="I59" i="68"/>
  <c r="B99" i="68"/>
  <c r="B61" i="68"/>
  <c r="J117" i="72"/>
  <c r="M61" i="68"/>
  <c r="M99" i="68"/>
  <c r="G59" i="68"/>
  <c r="G45" i="68"/>
  <c r="K117" i="72"/>
  <c r="F83" i="70"/>
  <c r="E117" i="72"/>
  <c r="E72" i="72" s="1"/>
  <c r="M83" i="70"/>
  <c r="L131" i="70"/>
  <c r="L25" i="70"/>
  <c r="H83" i="70"/>
  <c r="I83" i="70"/>
  <c r="B131" i="70"/>
  <c r="B25" i="70"/>
  <c r="P35" i="68"/>
  <c r="P26" i="68"/>
  <c r="C94" i="68"/>
  <c r="C40" i="68"/>
  <c r="C93" i="68"/>
  <c r="C27" i="70"/>
  <c r="C32" i="70"/>
  <c r="C31" i="70"/>
  <c r="C39" i="70"/>
  <c r="C30" i="70"/>
  <c r="C26" i="70"/>
  <c r="C40" i="70"/>
  <c r="M94" i="68"/>
  <c r="I93" i="68"/>
  <c r="I94" i="68"/>
  <c r="I40" i="68"/>
  <c r="B94" i="68"/>
  <c r="B93" i="68"/>
  <c r="B40" i="68"/>
  <c r="P24" i="68"/>
  <c r="J26" i="70"/>
  <c r="J40" i="70"/>
  <c r="J32" i="70"/>
  <c r="J27" i="70"/>
  <c r="J30" i="70"/>
  <c r="J31" i="70"/>
  <c r="J39" i="70"/>
  <c r="K83" i="70"/>
  <c r="M117" i="72"/>
  <c r="H32" i="70"/>
  <c r="H40" i="70"/>
  <c r="H26" i="70"/>
  <c r="H30" i="70"/>
  <c r="H39" i="70"/>
  <c r="H27" i="70"/>
  <c r="H31" i="70"/>
  <c r="G117" i="72"/>
  <c r="F117" i="72"/>
  <c r="E131" i="70"/>
  <c r="E25" i="70"/>
  <c r="L117" i="72"/>
  <c r="K40" i="68"/>
  <c r="K94" i="68"/>
  <c r="K93" i="68"/>
  <c r="H117" i="72"/>
  <c r="H72" i="72" s="1"/>
  <c r="I39" i="70"/>
  <c r="I31" i="70"/>
  <c r="I32" i="70"/>
  <c r="I26" i="70"/>
  <c r="I30" i="70"/>
  <c r="I40" i="70"/>
  <c r="I27" i="70"/>
  <c r="P25" i="68"/>
  <c r="P34" i="68"/>
  <c r="G131" i="70"/>
  <c r="G25" i="70"/>
  <c r="J61" i="68"/>
  <c r="J99" i="68"/>
  <c r="C83" i="70"/>
  <c r="L94" i="68"/>
  <c r="L93" i="68"/>
  <c r="L40" i="68"/>
  <c r="N83" i="70"/>
  <c r="H45" i="68"/>
  <c r="H59" i="68"/>
  <c r="P97" i="68"/>
  <c r="J131" i="70"/>
  <c r="J25" i="70"/>
  <c r="H131" i="70"/>
  <c r="H25" i="70"/>
  <c r="I117" i="72"/>
  <c r="P158" i="70"/>
  <c r="G46" i="68"/>
  <c r="G44" i="68"/>
  <c r="G58" i="68"/>
  <c r="G60" i="68"/>
  <c r="K131" i="70"/>
  <c r="K25" i="70"/>
  <c r="F31" i="70"/>
  <c r="F27" i="70"/>
  <c r="F39" i="70"/>
  <c r="F26" i="70"/>
  <c r="F40" i="70"/>
  <c r="F32" i="70"/>
  <c r="F30" i="70"/>
  <c r="F61" i="68"/>
  <c r="F99" i="68"/>
  <c r="E83" i="70"/>
  <c r="M32" i="70"/>
  <c r="M40" i="70"/>
  <c r="M26" i="70"/>
  <c r="M30" i="70"/>
  <c r="M31" i="70"/>
  <c r="M39" i="70"/>
  <c r="M27" i="70"/>
  <c r="L99" i="68"/>
  <c r="L61" i="68"/>
  <c r="K31" i="70"/>
  <c r="K26" i="70"/>
  <c r="K32" i="70"/>
  <c r="K39" i="70"/>
  <c r="K27" i="70"/>
  <c r="K40" i="70"/>
  <c r="K30" i="70"/>
  <c r="E40" i="68"/>
  <c r="E94" i="68"/>
  <c r="E93" i="68"/>
  <c r="F131" i="70"/>
  <c r="F25" i="70"/>
  <c r="C61" i="68"/>
  <c r="C99" i="68"/>
  <c r="E27" i="70"/>
  <c r="E39" i="70"/>
  <c r="E32" i="70"/>
  <c r="E30" i="70"/>
  <c r="E31" i="70"/>
  <c r="E40" i="70"/>
  <c r="E26" i="70"/>
  <c r="N94" i="68"/>
  <c r="N40" i="68"/>
  <c r="N93" i="68"/>
  <c r="P96" i="68"/>
  <c r="M131" i="70"/>
  <c r="M25" i="70"/>
  <c r="L32" i="70"/>
  <c r="L40" i="70"/>
  <c r="L26" i="70"/>
  <c r="L30" i="70"/>
  <c r="L39" i="70"/>
  <c r="L31" i="70"/>
  <c r="L27" i="70"/>
  <c r="L83" i="70"/>
  <c r="F93" i="68"/>
  <c r="F40" i="68"/>
  <c r="F94" i="68"/>
  <c r="I131" i="70"/>
  <c r="I25" i="70"/>
  <c r="B39" i="70"/>
  <c r="B31" i="70"/>
  <c r="B26" i="70"/>
  <c r="B40" i="70"/>
  <c r="B30" i="70"/>
  <c r="B32" i="70"/>
  <c r="B27" i="70"/>
  <c r="B83" i="70"/>
  <c r="P157" i="70"/>
  <c r="P30" i="68"/>
  <c r="P31" i="68"/>
  <c r="G83" i="70"/>
  <c r="C82" i="70"/>
  <c r="P159" i="70"/>
  <c r="K99" i="68"/>
  <c r="K61" i="68"/>
  <c r="E99" i="68"/>
  <c r="E61" i="68"/>
  <c r="N131" i="70"/>
  <c r="N25" i="70"/>
  <c r="N117" i="72"/>
  <c r="N72" i="72" s="1"/>
  <c r="N61" i="68"/>
  <c r="N99" i="68"/>
  <c r="I46" i="68"/>
  <c r="I44" i="68"/>
  <c r="I58" i="68"/>
  <c r="I60" i="68"/>
  <c r="J83" i="70"/>
  <c r="O110" i="67"/>
  <c r="O111" i="67" s="1"/>
  <c r="F110" i="67"/>
  <c r="F111" i="67" s="1"/>
  <c r="H74" i="67"/>
  <c r="P77" i="68"/>
  <c r="I75" i="67"/>
  <c r="I74" i="67"/>
  <c r="G74" i="67"/>
  <c r="G75" i="67"/>
  <c r="P75" i="67" s="1"/>
  <c r="P91" i="67"/>
  <c r="P107" i="67"/>
  <c r="I61" i="67"/>
  <c r="I64" i="67" s="1"/>
  <c r="P87" i="67"/>
  <c r="P89" i="67"/>
  <c r="G61" i="67"/>
  <c r="G64" i="67" s="1"/>
  <c r="G63" i="67"/>
  <c r="P63" i="67" s="1"/>
  <c r="P47" i="67"/>
  <c r="G49" i="67"/>
  <c r="P62" i="67"/>
  <c r="I109" i="67"/>
  <c r="P30" i="72"/>
  <c r="P28" i="71"/>
  <c r="P27" i="68"/>
  <c r="O109" i="67"/>
  <c r="I103" i="67"/>
  <c r="I43" i="67"/>
  <c r="P29" i="67"/>
  <c r="P27" i="67"/>
  <c r="F103" i="67"/>
  <c r="F43" i="67"/>
  <c r="H39" i="71" l="1"/>
  <c r="H32" i="71"/>
  <c r="G181" i="71"/>
  <c r="G132" i="71" s="1"/>
  <c r="G71" i="71" s="1"/>
  <c r="H27" i="71"/>
  <c r="H33" i="71"/>
  <c r="H34" i="71"/>
  <c r="G27" i="71"/>
  <c r="M132" i="71"/>
  <c r="M54" i="71" s="1"/>
  <c r="M33" i="71"/>
  <c r="M39" i="71"/>
  <c r="G108" i="74"/>
  <c r="H90" i="71"/>
  <c r="M32" i="71"/>
  <c r="H134" i="71"/>
  <c r="H181" i="71"/>
  <c r="H132" i="71" s="1"/>
  <c r="H75" i="71" s="1"/>
  <c r="P54" i="70"/>
  <c r="H25" i="71"/>
  <c r="H182" i="71"/>
  <c r="H133" i="71" s="1"/>
  <c r="P71" i="70"/>
  <c r="H72" i="70"/>
  <c r="I72" i="70"/>
  <c r="G25" i="71"/>
  <c r="G39" i="71"/>
  <c r="G26" i="71"/>
  <c r="N133" i="71"/>
  <c r="N73" i="71" s="1"/>
  <c r="M90" i="71"/>
  <c r="P52" i="70"/>
  <c r="P67" i="70"/>
  <c r="G72" i="70"/>
  <c r="G134" i="71"/>
  <c r="G34" i="71"/>
  <c r="M134" i="71"/>
  <c r="M120" i="72"/>
  <c r="K117" i="73" s="1"/>
  <c r="G182" i="71"/>
  <c r="G133" i="71" s="1"/>
  <c r="G56" i="71" s="1"/>
  <c r="G33" i="71"/>
  <c r="N25" i="71"/>
  <c r="N50" i="71" s="1"/>
  <c r="N132" i="71"/>
  <c r="N75" i="71" s="1"/>
  <c r="J32" i="71"/>
  <c r="M25" i="71"/>
  <c r="M133" i="71"/>
  <c r="M56" i="71" s="1"/>
  <c r="P69" i="70"/>
  <c r="P50" i="70"/>
  <c r="P120" i="71"/>
  <c r="J26" i="71"/>
  <c r="H56" i="71"/>
  <c r="H73" i="71"/>
  <c r="I56" i="71"/>
  <c r="I73" i="71"/>
  <c r="J33" i="71"/>
  <c r="G76" i="71"/>
  <c r="G59" i="71"/>
  <c r="G74" i="71"/>
  <c r="G55" i="71"/>
  <c r="G72" i="71"/>
  <c r="J73" i="71"/>
  <c r="J56" i="71"/>
  <c r="J40" i="71"/>
  <c r="C51" i="70"/>
  <c r="C57" i="71" s="1"/>
  <c r="I51" i="70"/>
  <c r="J25" i="71"/>
  <c r="J39" i="71"/>
  <c r="J27" i="71"/>
  <c r="L120" i="72"/>
  <c r="J117" i="73" s="1"/>
  <c r="P84" i="70"/>
  <c r="G51" i="70"/>
  <c r="G133" i="70" s="1"/>
  <c r="G139" i="70" s="1"/>
  <c r="P35" i="71"/>
  <c r="F120" i="72"/>
  <c r="E117" i="73" s="1"/>
  <c r="K120" i="72"/>
  <c r="I117" i="73" s="1"/>
  <c r="G157" i="71"/>
  <c r="G30" i="71"/>
  <c r="G156" i="71"/>
  <c r="P117" i="70"/>
  <c r="B156" i="71"/>
  <c r="B30" i="71"/>
  <c r="B157" i="71"/>
  <c r="I156" i="71"/>
  <c r="I157" i="71"/>
  <c r="I30" i="71"/>
  <c r="C157" i="71"/>
  <c r="C156" i="71"/>
  <c r="C30" i="71"/>
  <c r="E108" i="74"/>
  <c r="I54" i="71"/>
  <c r="I58" i="71"/>
  <c r="I77" i="71"/>
  <c r="I71" i="71"/>
  <c r="I75" i="71"/>
  <c r="J71" i="71"/>
  <c r="J54" i="71"/>
  <c r="J58" i="71"/>
  <c r="J77" i="71"/>
  <c r="J75" i="71"/>
  <c r="B26" i="71"/>
  <c r="B27" i="71"/>
  <c r="B34" i="71"/>
  <c r="B39" i="71"/>
  <c r="B40" i="71"/>
  <c r="B32" i="71"/>
  <c r="B33" i="71"/>
  <c r="E133" i="71"/>
  <c r="E134" i="71"/>
  <c r="E132" i="71"/>
  <c r="E90" i="71"/>
  <c r="E25" i="71"/>
  <c r="F132" i="71"/>
  <c r="F133" i="71"/>
  <c r="F90" i="71"/>
  <c r="F134" i="71"/>
  <c r="F25" i="71"/>
  <c r="K90" i="71"/>
  <c r="K134" i="71"/>
  <c r="K133" i="71"/>
  <c r="K132" i="71"/>
  <c r="K25" i="71"/>
  <c r="H51" i="70"/>
  <c r="L26" i="71"/>
  <c r="L27" i="71"/>
  <c r="L34" i="71"/>
  <c r="L40" i="71"/>
  <c r="L39" i="71"/>
  <c r="L32" i="71"/>
  <c r="L33" i="71"/>
  <c r="M77" i="71"/>
  <c r="C26" i="71"/>
  <c r="C27" i="71"/>
  <c r="C32" i="71"/>
  <c r="C39" i="71"/>
  <c r="C40" i="71"/>
  <c r="C34" i="71"/>
  <c r="C33" i="71"/>
  <c r="G58" i="71"/>
  <c r="G75" i="71"/>
  <c r="G54" i="71"/>
  <c r="I131" i="71"/>
  <c r="I137" i="71" s="1"/>
  <c r="I138" i="71" s="1"/>
  <c r="I50" i="71"/>
  <c r="I130" i="71"/>
  <c r="H71" i="71"/>
  <c r="H77" i="71"/>
  <c r="H54" i="71"/>
  <c r="F27" i="71"/>
  <c r="F26" i="71"/>
  <c r="F34" i="71"/>
  <c r="F39" i="71"/>
  <c r="F32" i="71"/>
  <c r="F40" i="71"/>
  <c r="F33" i="71"/>
  <c r="L132" i="71"/>
  <c r="L90" i="71"/>
  <c r="L134" i="71"/>
  <c r="L133" i="71"/>
  <c r="L25" i="71"/>
  <c r="B132" i="71"/>
  <c r="B90" i="71"/>
  <c r="B134" i="71"/>
  <c r="B133" i="71"/>
  <c r="B25" i="71"/>
  <c r="E27" i="71"/>
  <c r="E26" i="71"/>
  <c r="E39" i="71"/>
  <c r="E40" i="71"/>
  <c r="E32" i="71"/>
  <c r="E34" i="71"/>
  <c r="E33" i="71"/>
  <c r="K27" i="71"/>
  <c r="K26" i="71"/>
  <c r="K32" i="71"/>
  <c r="K39" i="71"/>
  <c r="K40" i="71"/>
  <c r="K34" i="71"/>
  <c r="K33" i="71"/>
  <c r="C134" i="71"/>
  <c r="C132" i="71"/>
  <c r="C133" i="71"/>
  <c r="C90" i="71"/>
  <c r="C25" i="71"/>
  <c r="P83" i="70"/>
  <c r="P82" i="70"/>
  <c r="K51" i="70"/>
  <c r="K57" i="71" s="1"/>
  <c r="F51" i="70"/>
  <c r="F57" i="71" s="1"/>
  <c r="F68" i="70"/>
  <c r="F74" i="71" s="1"/>
  <c r="J51" i="70"/>
  <c r="J57" i="71" s="1"/>
  <c r="J68" i="70"/>
  <c r="J74" i="71" s="1"/>
  <c r="B51" i="70"/>
  <c r="B57" i="71" s="1"/>
  <c r="B68" i="70"/>
  <c r="B74" i="71" s="1"/>
  <c r="E51" i="70"/>
  <c r="E57" i="71" s="1"/>
  <c r="E68" i="70"/>
  <c r="E74" i="71" s="1"/>
  <c r="I128" i="70"/>
  <c r="I134" i="70" s="1"/>
  <c r="I135" i="70" s="1"/>
  <c r="C128" i="70"/>
  <c r="M51" i="70"/>
  <c r="M57" i="71" s="1"/>
  <c r="M68" i="70"/>
  <c r="M74" i="71" s="1"/>
  <c r="L51" i="70"/>
  <c r="L57" i="71" s="1"/>
  <c r="L68" i="70"/>
  <c r="L74" i="71" s="1"/>
  <c r="N51" i="70"/>
  <c r="N57" i="71" s="1"/>
  <c r="N68" i="70"/>
  <c r="N74" i="71" s="1"/>
  <c r="H128" i="70"/>
  <c r="H134" i="70" s="1"/>
  <c r="H135" i="70" s="1"/>
  <c r="G128" i="70"/>
  <c r="L128" i="70"/>
  <c r="N128" i="70"/>
  <c r="F128" i="70"/>
  <c r="F134" i="70" s="1"/>
  <c r="F135" i="70" s="1"/>
  <c r="K128" i="70"/>
  <c r="E128" i="70"/>
  <c r="E134" i="70" s="1"/>
  <c r="E135" i="70" s="1"/>
  <c r="B128" i="70"/>
  <c r="N53" i="70"/>
  <c r="N59" i="71" s="1"/>
  <c r="N49" i="70"/>
  <c r="N55" i="71" s="1"/>
  <c r="N70" i="70"/>
  <c r="N76" i="71" s="1"/>
  <c r="N66" i="70"/>
  <c r="N72" i="71" s="1"/>
  <c r="B49" i="70"/>
  <c r="B55" i="71" s="1"/>
  <c r="B53" i="70"/>
  <c r="B59" i="71" s="1"/>
  <c r="B66" i="70"/>
  <c r="B72" i="71" s="1"/>
  <c r="B70" i="70"/>
  <c r="B76" i="71" s="1"/>
  <c r="E70" i="70"/>
  <c r="E76" i="71" s="1"/>
  <c r="E49" i="70"/>
  <c r="E55" i="71" s="1"/>
  <c r="E53" i="70"/>
  <c r="E59" i="71" s="1"/>
  <c r="E66" i="70"/>
  <c r="E72" i="71" s="1"/>
  <c r="P74" i="67"/>
  <c r="P112" i="68"/>
  <c r="B164" i="71"/>
  <c r="L49" i="70"/>
  <c r="L55" i="71" s="1"/>
  <c r="L66" i="70"/>
  <c r="L72" i="71" s="1"/>
  <c r="L70" i="70"/>
  <c r="L76" i="71" s="1"/>
  <c r="L53" i="70"/>
  <c r="L59" i="71" s="1"/>
  <c r="K119" i="72"/>
  <c r="B119" i="72"/>
  <c r="P163" i="71"/>
  <c r="L119" i="72"/>
  <c r="J116" i="73" s="1"/>
  <c r="E113" i="74"/>
  <c r="D106" i="74"/>
  <c r="L106" i="74" s="1"/>
  <c r="M115" i="73"/>
  <c r="P59" i="68"/>
  <c r="P44" i="68"/>
  <c r="P40" i="70"/>
  <c r="P46" i="68"/>
  <c r="P45" i="68"/>
  <c r="M49" i="70"/>
  <c r="M55" i="71" s="1"/>
  <c r="M53" i="70"/>
  <c r="M59" i="71" s="1"/>
  <c r="M66" i="70"/>
  <c r="M72" i="71" s="1"/>
  <c r="M70" i="70"/>
  <c r="M76" i="71" s="1"/>
  <c r="E100" i="68"/>
  <c r="E101" i="68" s="1"/>
  <c r="H116" i="72"/>
  <c r="H73" i="72" s="1"/>
  <c r="P26" i="70"/>
  <c r="N100" i="68"/>
  <c r="N101" i="68" s="1"/>
  <c r="C100" i="68"/>
  <c r="C101" i="68" s="1"/>
  <c r="P131" i="70"/>
  <c r="F116" i="72"/>
  <c r="I114" i="73"/>
  <c r="K72" i="72"/>
  <c r="C118" i="72"/>
  <c r="P162" i="71"/>
  <c r="P27" i="70"/>
  <c r="K53" i="70"/>
  <c r="K59" i="71" s="1"/>
  <c r="K49" i="70"/>
  <c r="K55" i="71" s="1"/>
  <c r="K66" i="70"/>
  <c r="K72" i="71" s="1"/>
  <c r="K70" i="70"/>
  <c r="K76" i="71" s="1"/>
  <c r="N116" i="72"/>
  <c r="N73" i="72" s="1"/>
  <c r="L100" i="68"/>
  <c r="L101" i="68" s="1"/>
  <c r="I100" i="68"/>
  <c r="I101" i="68" s="1"/>
  <c r="G116" i="72"/>
  <c r="P31" i="70"/>
  <c r="P60" i="68"/>
  <c r="C116" i="72"/>
  <c r="C73" i="72" s="1"/>
  <c r="L72" i="72"/>
  <c r="J114" i="73"/>
  <c r="F72" i="72"/>
  <c r="E114" i="73"/>
  <c r="I116" i="72"/>
  <c r="H114" i="73"/>
  <c r="J72" i="72"/>
  <c r="C49" i="70"/>
  <c r="C55" i="71" s="1"/>
  <c r="C70" i="70"/>
  <c r="C76" i="71" s="1"/>
  <c r="C53" i="70"/>
  <c r="C59" i="71" s="1"/>
  <c r="C66" i="70"/>
  <c r="C72" i="71" s="1"/>
  <c r="P129" i="70"/>
  <c r="F53" i="70"/>
  <c r="F59" i="71" s="1"/>
  <c r="F70" i="70"/>
  <c r="F76" i="71" s="1"/>
  <c r="F66" i="70"/>
  <c r="F72" i="71" s="1"/>
  <c r="F49" i="70"/>
  <c r="F55" i="71" s="1"/>
  <c r="G99" i="68"/>
  <c r="G61" i="68"/>
  <c r="K100" i="68"/>
  <c r="K101" i="68" s="1"/>
  <c r="P25" i="70"/>
  <c r="M116" i="72"/>
  <c r="H99" i="68"/>
  <c r="H61" i="68"/>
  <c r="L116" i="72"/>
  <c r="G114" i="73"/>
  <c r="I72" i="72"/>
  <c r="F114" i="73"/>
  <c r="G72" i="72"/>
  <c r="K114" i="73"/>
  <c r="M72" i="72"/>
  <c r="J116" i="72"/>
  <c r="I99" i="68"/>
  <c r="I61" i="68"/>
  <c r="P32" i="70"/>
  <c r="F100" i="68"/>
  <c r="F101" i="68" s="1"/>
  <c r="P160" i="71"/>
  <c r="B116" i="72"/>
  <c r="P30" i="70"/>
  <c r="P39" i="70"/>
  <c r="E116" i="72"/>
  <c r="E73" i="72" s="1"/>
  <c r="P58" i="68"/>
  <c r="B117" i="72"/>
  <c r="J53" i="70"/>
  <c r="J59" i="71" s="1"/>
  <c r="J49" i="70"/>
  <c r="J55" i="71" s="1"/>
  <c r="J66" i="70"/>
  <c r="J72" i="71" s="1"/>
  <c r="J70" i="70"/>
  <c r="J76" i="71" s="1"/>
  <c r="K116" i="72"/>
  <c r="B100" i="68"/>
  <c r="B101" i="68" s="1"/>
  <c r="P130" i="70"/>
  <c r="P64" i="67"/>
  <c r="G109" i="67"/>
  <c r="G110" i="67" s="1"/>
  <c r="G111" i="67" s="1"/>
  <c r="K109" i="67"/>
  <c r="K110" i="67" s="1"/>
  <c r="K111" i="67" s="1"/>
  <c r="L109" i="67"/>
  <c r="L110" i="67" s="1"/>
  <c r="L111" i="67" s="1"/>
  <c r="C109" i="67"/>
  <c r="C110" i="67" s="1"/>
  <c r="C111" i="67" s="1"/>
  <c r="D109" i="67"/>
  <c r="D110" i="67" s="1"/>
  <c r="D111" i="67" s="1"/>
  <c r="C18" i="66"/>
  <c r="E18" i="66"/>
  <c r="F18" i="66"/>
  <c r="G18" i="66"/>
  <c r="H18" i="66"/>
  <c r="I18" i="66"/>
  <c r="J18" i="66"/>
  <c r="K18" i="66"/>
  <c r="L18" i="66"/>
  <c r="M18" i="66"/>
  <c r="N18" i="66"/>
  <c r="O18" i="66"/>
  <c r="B18" i="66"/>
  <c r="C21" i="66"/>
  <c r="E21" i="66"/>
  <c r="F21" i="66"/>
  <c r="G21" i="66"/>
  <c r="H21" i="66"/>
  <c r="I21" i="66"/>
  <c r="J21" i="66"/>
  <c r="K21" i="66"/>
  <c r="L21" i="66"/>
  <c r="M21" i="66"/>
  <c r="N21" i="66"/>
  <c r="O21" i="66"/>
  <c r="B21" i="66"/>
  <c r="M71" i="71" l="1"/>
  <c r="M75" i="71"/>
  <c r="H58" i="71"/>
  <c r="G77" i="71"/>
  <c r="M58" i="71"/>
  <c r="N131" i="71"/>
  <c r="N58" i="71"/>
  <c r="P76" i="71"/>
  <c r="G73" i="71"/>
  <c r="P55" i="71"/>
  <c r="P72" i="71"/>
  <c r="N71" i="71"/>
  <c r="N77" i="71"/>
  <c r="N56" i="71"/>
  <c r="H133" i="70"/>
  <c r="H139" i="70" s="1"/>
  <c r="H57" i="71"/>
  <c r="H136" i="71" s="1"/>
  <c r="N54" i="71"/>
  <c r="N130" i="71"/>
  <c r="I133" i="70"/>
  <c r="I139" i="70" s="1"/>
  <c r="I57" i="71"/>
  <c r="G57" i="71"/>
  <c r="M73" i="71"/>
  <c r="P59" i="71"/>
  <c r="P74" i="71"/>
  <c r="K56" i="71"/>
  <c r="K73" i="71"/>
  <c r="L56" i="71"/>
  <c r="L73" i="71"/>
  <c r="E56" i="71"/>
  <c r="E73" i="71"/>
  <c r="B56" i="71"/>
  <c r="B73" i="71"/>
  <c r="C56" i="71"/>
  <c r="C73" i="71"/>
  <c r="F73" i="71"/>
  <c r="F56" i="71"/>
  <c r="G134" i="70"/>
  <c r="G135" i="70" s="1"/>
  <c r="P157" i="71"/>
  <c r="P30" i="71"/>
  <c r="P156" i="71"/>
  <c r="M72" i="70"/>
  <c r="P133" i="71"/>
  <c r="M136" i="71"/>
  <c r="I136" i="71"/>
  <c r="B131" i="71"/>
  <c r="P25" i="71"/>
  <c r="B50" i="71"/>
  <c r="B130" i="71"/>
  <c r="P32" i="71"/>
  <c r="F72" i="70"/>
  <c r="L131" i="71"/>
  <c r="L130" i="71"/>
  <c r="L50" i="71"/>
  <c r="L54" i="71"/>
  <c r="L58" i="71"/>
  <c r="L77" i="71"/>
  <c r="L71" i="71"/>
  <c r="L75" i="71"/>
  <c r="K130" i="71"/>
  <c r="K50" i="71"/>
  <c r="K131" i="71"/>
  <c r="P40" i="71"/>
  <c r="P26" i="71"/>
  <c r="P134" i="71"/>
  <c r="K54" i="71"/>
  <c r="K58" i="71"/>
  <c r="K75" i="71"/>
  <c r="K71" i="71"/>
  <c r="K77" i="71"/>
  <c r="F131" i="71"/>
  <c r="F137" i="71" s="1"/>
  <c r="F138" i="71" s="1"/>
  <c r="F130" i="71"/>
  <c r="F50" i="71"/>
  <c r="F71" i="71"/>
  <c r="F54" i="71"/>
  <c r="F58" i="71"/>
  <c r="F77" i="71"/>
  <c r="F75" i="71"/>
  <c r="E130" i="71"/>
  <c r="E131" i="71"/>
  <c r="E137" i="71" s="1"/>
  <c r="E138" i="71" s="1"/>
  <c r="E50" i="71"/>
  <c r="P39" i="71"/>
  <c r="C75" i="71"/>
  <c r="C58" i="71"/>
  <c r="C71" i="71"/>
  <c r="C77" i="71"/>
  <c r="C54" i="71"/>
  <c r="B71" i="71"/>
  <c r="B75" i="71"/>
  <c r="B77" i="71"/>
  <c r="B58" i="71"/>
  <c r="B54" i="71"/>
  <c r="P132" i="71"/>
  <c r="E58" i="71"/>
  <c r="E75" i="71"/>
  <c r="E54" i="71"/>
  <c r="E71" i="71"/>
  <c r="E77" i="71"/>
  <c r="P27" i="71"/>
  <c r="C72" i="70"/>
  <c r="C131" i="71"/>
  <c r="C50" i="71"/>
  <c r="C130" i="71"/>
  <c r="B72" i="70"/>
  <c r="P33" i="71"/>
  <c r="P34" i="71"/>
  <c r="J136" i="71"/>
  <c r="J72" i="70"/>
  <c r="F133" i="70"/>
  <c r="F139" i="70" s="1"/>
  <c r="C133" i="70"/>
  <c r="C139" i="70" s="1"/>
  <c r="K72" i="70"/>
  <c r="L72" i="70"/>
  <c r="J133" i="70"/>
  <c r="J139" i="70" s="1"/>
  <c r="M133" i="70"/>
  <c r="M139" i="70" s="1"/>
  <c r="E72" i="70"/>
  <c r="N72" i="70"/>
  <c r="K133" i="70"/>
  <c r="K139" i="70" s="1"/>
  <c r="E133" i="70"/>
  <c r="E139" i="70" s="1"/>
  <c r="B133" i="70"/>
  <c r="B139" i="70" s="1"/>
  <c r="L133" i="70"/>
  <c r="L139" i="70" s="1"/>
  <c r="N133" i="70"/>
  <c r="C134" i="70"/>
  <c r="C135" i="70" s="1"/>
  <c r="B134" i="70"/>
  <c r="B135" i="70" s="1"/>
  <c r="L126" i="72"/>
  <c r="P161" i="70"/>
  <c r="G69" i="67"/>
  <c r="G73" i="66"/>
  <c r="G77" i="70"/>
  <c r="G66" i="68"/>
  <c r="B116" i="73"/>
  <c r="P119" i="72"/>
  <c r="B126" i="72"/>
  <c r="K126" i="72"/>
  <c r="K123" i="73" s="1"/>
  <c r="I116" i="73"/>
  <c r="J123" i="73"/>
  <c r="J121" i="74" s="1"/>
  <c r="I107" i="74"/>
  <c r="I121" i="74" s="1"/>
  <c r="J114" i="74"/>
  <c r="P88" i="71"/>
  <c r="P99" i="68"/>
  <c r="P49" i="70"/>
  <c r="F73" i="72"/>
  <c r="E113" i="73"/>
  <c r="H113" i="73"/>
  <c r="J73" i="72"/>
  <c r="E112" i="74"/>
  <c r="F71" i="73"/>
  <c r="E105" i="74"/>
  <c r="M73" i="72"/>
  <c r="K113" i="73"/>
  <c r="P70" i="70"/>
  <c r="C125" i="72"/>
  <c r="C33" i="72"/>
  <c r="P118" i="72"/>
  <c r="P61" i="68"/>
  <c r="P66" i="70"/>
  <c r="P51" i="70"/>
  <c r="G112" i="74"/>
  <c r="H71" i="73"/>
  <c r="G105" i="74"/>
  <c r="D112" i="74"/>
  <c r="E71" i="73"/>
  <c r="D105" i="74"/>
  <c r="L73" i="72"/>
  <c r="J113" i="73"/>
  <c r="I73" i="72"/>
  <c r="G113" i="73"/>
  <c r="I112" i="74"/>
  <c r="J71" i="73"/>
  <c r="I105" i="74"/>
  <c r="F113" i="73"/>
  <c r="G73" i="72"/>
  <c r="I113" i="73"/>
  <c r="K73" i="72"/>
  <c r="B114" i="73"/>
  <c r="B72" i="72"/>
  <c r="P63" i="72"/>
  <c r="B73" i="72"/>
  <c r="B113" i="73"/>
  <c r="P116" i="72"/>
  <c r="J112" i="74"/>
  <c r="K71" i="73"/>
  <c r="F112" i="74"/>
  <c r="G71" i="73"/>
  <c r="F105" i="74"/>
  <c r="P53" i="70"/>
  <c r="P68" i="70"/>
  <c r="H112" i="74"/>
  <c r="I71" i="73"/>
  <c r="H105" i="74"/>
  <c r="N110" i="66"/>
  <c r="J110" i="66"/>
  <c r="F110" i="66"/>
  <c r="M110" i="66"/>
  <c r="I110" i="66"/>
  <c r="E110" i="66"/>
  <c r="B110" i="66"/>
  <c r="L110" i="66"/>
  <c r="H110" i="66"/>
  <c r="C110" i="66"/>
  <c r="O110" i="66"/>
  <c r="K110" i="66"/>
  <c r="G110" i="66"/>
  <c r="E109" i="67"/>
  <c r="M109" i="67"/>
  <c r="F109" i="67"/>
  <c r="J109" i="67"/>
  <c r="J110" i="67" s="1"/>
  <c r="J111" i="67" s="1"/>
  <c r="B109" i="67"/>
  <c r="C20" i="66"/>
  <c r="E20" i="66"/>
  <c r="F20" i="66"/>
  <c r="G20" i="66"/>
  <c r="H113" i="66" s="1"/>
  <c r="H20" i="66"/>
  <c r="I20" i="66"/>
  <c r="J20" i="66"/>
  <c r="K20" i="66"/>
  <c r="L20" i="66"/>
  <c r="M20" i="66"/>
  <c r="N20" i="66"/>
  <c r="O20" i="66"/>
  <c r="B20" i="66"/>
  <c r="O147" i="66"/>
  <c r="N147" i="66"/>
  <c r="M147" i="66"/>
  <c r="L147" i="66"/>
  <c r="K147" i="66"/>
  <c r="J147" i="66"/>
  <c r="I147" i="66"/>
  <c r="G147" i="66"/>
  <c r="F147" i="66"/>
  <c r="E147" i="66"/>
  <c r="D147" i="66"/>
  <c r="C147" i="66"/>
  <c r="B147" i="66"/>
  <c r="P75" i="66"/>
  <c r="O23" i="66"/>
  <c r="O69" i="66" s="1"/>
  <c r="N23" i="66"/>
  <c r="N69" i="66" s="1"/>
  <c r="M23" i="66"/>
  <c r="M69" i="66" s="1"/>
  <c r="L23" i="66"/>
  <c r="L69" i="66" s="1"/>
  <c r="K23" i="66"/>
  <c r="K69" i="66" s="1"/>
  <c r="J23" i="66"/>
  <c r="J69" i="66" s="1"/>
  <c r="I23" i="66"/>
  <c r="H23" i="66"/>
  <c r="G23" i="66"/>
  <c r="F23" i="66"/>
  <c r="E23" i="66"/>
  <c r="D23" i="66"/>
  <c r="D69" i="66" s="1"/>
  <c r="C23" i="66"/>
  <c r="B23" i="66"/>
  <c r="L22" i="66"/>
  <c r="K22" i="66"/>
  <c r="I22" i="66"/>
  <c r="F22" i="66"/>
  <c r="E22" i="66"/>
  <c r="C22" i="66"/>
  <c r="B22" i="66"/>
  <c r="O19" i="66"/>
  <c r="O108" i="66" s="1"/>
  <c r="N19" i="66"/>
  <c r="M19" i="66"/>
  <c r="L19" i="66"/>
  <c r="K19" i="66"/>
  <c r="J19" i="66"/>
  <c r="I19" i="66"/>
  <c r="H19" i="66"/>
  <c r="H108" i="66" s="1"/>
  <c r="G19" i="66"/>
  <c r="F19" i="66"/>
  <c r="E19" i="66"/>
  <c r="D19" i="66"/>
  <c r="C19" i="66"/>
  <c r="B19" i="66"/>
  <c r="O15" i="66"/>
  <c r="N15" i="66"/>
  <c r="M15" i="66"/>
  <c r="L15" i="66"/>
  <c r="K15" i="66"/>
  <c r="J15" i="66"/>
  <c r="I15" i="66"/>
  <c r="H15" i="66"/>
  <c r="G15" i="66"/>
  <c r="F15" i="66"/>
  <c r="E15" i="66"/>
  <c r="D15" i="66"/>
  <c r="C15" i="66"/>
  <c r="B15" i="66"/>
  <c r="O8" i="66"/>
  <c r="N8" i="66"/>
  <c r="M8" i="66"/>
  <c r="L8" i="66"/>
  <c r="K8" i="66"/>
  <c r="J8" i="66"/>
  <c r="I8" i="66"/>
  <c r="H8" i="66"/>
  <c r="G8" i="66"/>
  <c r="F8" i="66"/>
  <c r="E8" i="66"/>
  <c r="D8" i="66"/>
  <c r="C8" i="66"/>
  <c r="B8" i="66"/>
  <c r="P57" i="71" l="1"/>
  <c r="N136" i="71"/>
  <c r="N137" i="71" s="1"/>
  <c r="N138" i="71" s="1"/>
  <c r="G136" i="71"/>
  <c r="P73" i="71"/>
  <c r="P58" i="71"/>
  <c r="P75" i="71"/>
  <c r="P71" i="71"/>
  <c r="K136" i="71"/>
  <c r="K137" i="71" s="1"/>
  <c r="K138" i="71" s="1"/>
  <c r="L136" i="71"/>
  <c r="L137" i="71" s="1"/>
  <c r="L138" i="71" s="1"/>
  <c r="B136" i="71"/>
  <c r="B137" i="71" s="1"/>
  <c r="B138" i="71" s="1"/>
  <c r="P54" i="71"/>
  <c r="E136" i="71"/>
  <c r="P56" i="71"/>
  <c r="C136" i="71"/>
  <c r="C137" i="71" s="1"/>
  <c r="C138" i="71" s="1"/>
  <c r="F136" i="71"/>
  <c r="P72" i="70"/>
  <c r="N139" i="70"/>
  <c r="N134" i="70"/>
  <c r="N135" i="70" s="1"/>
  <c r="K134" i="70"/>
  <c r="K135" i="70" s="1"/>
  <c r="L134" i="70"/>
  <c r="L135" i="70" s="1"/>
  <c r="P133" i="70"/>
  <c r="N94" i="67"/>
  <c r="P94" i="67" s="1"/>
  <c r="N92" i="67"/>
  <c r="P92" i="67" s="1"/>
  <c r="O105" i="66"/>
  <c r="B69" i="66"/>
  <c r="B108" i="74"/>
  <c r="L108" i="74" s="1"/>
  <c r="P164" i="71"/>
  <c r="B120" i="72"/>
  <c r="H107" i="74"/>
  <c r="H121" i="74" s="1"/>
  <c r="I123" i="73"/>
  <c r="I114" i="74"/>
  <c r="B107" i="74"/>
  <c r="M116" i="73"/>
  <c r="B114" i="74"/>
  <c r="B123" i="73"/>
  <c r="H69" i="66"/>
  <c r="I111" i="74"/>
  <c r="J72" i="73"/>
  <c r="I104" i="74"/>
  <c r="J111" i="74"/>
  <c r="K72" i="73"/>
  <c r="D111" i="74"/>
  <c r="E72" i="73"/>
  <c r="D104" i="74"/>
  <c r="I69" i="66"/>
  <c r="B111" i="74"/>
  <c r="B104" i="74"/>
  <c r="B72" i="73"/>
  <c r="B71" i="73"/>
  <c r="B105" i="74"/>
  <c r="B112" i="74"/>
  <c r="H111" i="74"/>
  <c r="I72" i="73"/>
  <c r="H104" i="74"/>
  <c r="E111" i="74"/>
  <c r="F72" i="73"/>
  <c r="E104" i="74"/>
  <c r="F111" i="74"/>
  <c r="G72" i="73"/>
  <c r="F104" i="74"/>
  <c r="G111" i="74"/>
  <c r="H72" i="73"/>
  <c r="G104" i="74"/>
  <c r="G69" i="66"/>
  <c r="D108" i="66"/>
  <c r="L108" i="66"/>
  <c r="E108" i="66"/>
  <c r="I108" i="66"/>
  <c r="M108" i="66"/>
  <c r="B108" i="66"/>
  <c r="F108" i="66"/>
  <c r="J108" i="66"/>
  <c r="C108" i="66"/>
  <c r="G108" i="66"/>
  <c r="K108" i="66"/>
  <c r="N108" i="66"/>
  <c r="N96" i="67"/>
  <c r="H44" i="66"/>
  <c r="H56" i="66" s="1"/>
  <c r="E44" i="66"/>
  <c r="E56" i="66" s="1"/>
  <c r="B44" i="66"/>
  <c r="C44" i="66"/>
  <c r="C56" i="66" s="1"/>
  <c r="F164" i="66"/>
  <c r="F166" i="66"/>
  <c r="G166" i="66"/>
  <c r="G164" i="66"/>
  <c r="O166" i="66"/>
  <c r="O164" i="66"/>
  <c r="D166" i="66"/>
  <c r="D164" i="66"/>
  <c r="H166" i="66"/>
  <c r="H164" i="66"/>
  <c r="L166" i="66"/>
  <c r="L164" i="66"/>
  <c r="B166" i="66"/>
  <c r="B164" i="66"/>
  <c r="J164" i="66"/>
  <c r="J166" i="66"/>
  <c r="C166" i="66"/>
  <c r="C164" i="66"/>
  <c r="K166" i="66"/>
  <c r="K164" i="66"/>
  <c r="E164" i="66"/>
  <c r="E166" i="66"/>
  <c r="I164" i="66"/>
  <c r="I166" i="66"/>
  <c r="M164" i="66"/>
  <c r="M166" i="66"/>
  <c r="N164" i="66"/>
  <c r="N166" i="66"/>
  <c r="I17" i="66"/>
  <c r="I106" i="66"/>
  <c r="I111" i="66"/>
  <c r="I104" i="66"/>
  <c r="D163" i="66"/>
  <c r="D165" i="66"/>
  <c r="L163" i="66"/>
  <c r="L165" i="66"/>
  <c r="B17" i="66"/>
  <c r="B106" i="66"/>
  <c r="B111" i="66"/>
  <c r="B104" i="66"/>
  <c r="J17" i="66"/>
  <c r="J106" i="66"/>
  <c r="J111" i="66"/>
  <c r="J104" i="66"/>
  <c r="C17" i="66"/>
  <c r="C106" i="66"/>
  <c r="C111" i="66"/>
  <c r="C104" i="66"/>
  <c r="G17" i="66"/>
  <c r="G106" i="66"/>
  <c r="G111" i="66"/>
  <c r="G104" i="66"/>
  <c r="K17" i="66"/>
  <c r="K106" i="66"/>
  <c r="K111" i="66"/>
  <c r="K104" i="66"/>
  <c r="O17" i="66"/>
  <c r="O106" i="66"/>
  <c r="O111" i="66"/>
  <c r="O103" i="66"/>
  <c r="O104" i="66"/>
  <c r="B165" i="66"/>
  <c r="B163" i="66"/>
  <c r="F165" i="66"/>
  <c r="F163" i="66"/>
  <c r="J165" i="66"/>
  <c r="J163" i="66"/>
  <c r="N165" i="66"/>
  <c r="N163" i="66"/>
  <c r="E17" i="66"/>
  <c r="E105" i="66"/>
  <c r="E106" i="66"/>
  <c r="E111" i="66"/>
  <c r="E104" i="66"/>
  <c r="E103" i="66"/>
  <c r="M17" i="66"/>
  <c r="M105" i="66"/>
  <c r="M104" i="66"/>
  <c r="M106" i="66"/>
  <c r="M111" i="66"/>
  <c r="M103" i="66"/>
  <c r="E101" i="66"/>
  <c r="D109" i="66"/>
  <c r="F17" i="66"/>
  <c r="F111" i="66"/>
  <c r="F106" i="66"/>
  <c r="F104" i="66"/>
  <c r="N111" i="66"/>
  <c r="N106" i="66"/>
  <c r="N104" i="66"/>
  <c r="E163" i="66"/>
  <c r="E165" i="66"/>
  <c r="M163" i="66"/>
  <c r="M165" i="66"/>
  <c r="O101" i="66"/>
  <c r="D106" i="66"/>
  <c r="D111" i="66"/>
  <c r="D105" i="66"/>
  <c r="D104" i="66"/>
  <c r="D103" i="66"/>
  <c r="D107" i="66"/>
  <c r="H17" i="66"/>
  <c r="H106" i="66"/>
  <c r="H111" i="66"/>
  <c r="H104" i="66"/>
  <c r="L17" i="66"/>
  <c r="L106" i="66"/>
  <c r="L111" i="66"/>
  <c r="L104" i="66"/>
  <c r="C165" i="66"/>
  <c r="C163" i="66"/>
  <c r="K165" i="66"/>
  <c r="K163" i="66"/>
  <c r="O165" i="66"/>
  <c r="O163" i="66"/>
  <c r="D101" i="66"/>
  <c r="M101" i="66"/>
  <c r="E161" i="66"/>
  <c r="E119" i="66" s="1"/>
  <c r="M161" i="66"/>
  <c r="M119" i="66" s="1"/>
  <c r="B161" i="66"/>
  <c r="F161" i="66"/>
  <c r="F119" i="66" s="1"/>
  <c r="J161" i="66"/>
  <c r="J119" i="66" s="1"/>
  <c r="N161" i="66"/>
  <c r="N119" i="66" s="1"/>
  <c r="I161" i="66"/>
  <c r="G161" i="66"/>
  <c r="G119" i="66" s="1"/>
  <c r="K161" i="66"/>
  <c r="K119" i="66" s="1"/>
  <c r="O161" i="66"/>
  <c r="C161" i="66"/>
  <c r="D161" i="66"/>
  <c r="D119" i="66" s="1"/>
  <c r="H161" i="66"/>
  <c r="H119" i="66" s="1"/>
  <c r="L161" i="66"/>
  <c r="L119" i="66" s="1"/>
  <c r="D25" i="66"/>
  <c r="D26" i="66"/>
  <c r="H25" i="66"/>
  <c r="H26" i="66"/>
  <c r="L25" i="66"/>
  <c r="L26" i="66"/>
  <c r="E26" i="66"/>
  <c r="E25" i="66"/>
  <c r="I26" i="66"/>
  <c r="I25" i="66"/>
  <c r="M26" i="66"/>
  <c r="M25" i="66"/>
  <c r="B25" i="66"/>
  <c r="B26" i="66"/>
  <c r="F25" i="66"/>
  <c r="F26" i="66"/>
  <c r="J25" i="66"/>
  <c r="J26" i="66"/>
  <c r="N25" i="66"/>
  <c r="N26" i="66"/>
  <c r="C25" i="66"/>
  <c r="C26" i="66"/>
  <c r="G25" i="66"/>
  <c r="G26" i="66"/>
  <c r="K25" i="66"/>
  <c r="K26" i="66"/>
  <c r="O25" i="66"/>
  <c r="O26" i="66"/>
  <c r="H58" i="66"/>
  <c r="H112" i="66"/>
  <c r="H57" i="66"/>
  <c r="E112" i="66"/>
  <c r="E69" i="66" s="1"/>
  <c r="F112" i="66"/>
  <c r="F69" i="66" s="1"/>
  <c r="N17" i="66"/>
  <c r="B112" i="66"/>
  <c r="C112" i="66"/>
  <c r="C69" i="66" s="1"/>
  <c r="P136" i="71" l="1"/>
  <c r="P120" i="72"/>
  <c r="B117" i="73"/>
  <c r="M117" i="73" s="1"/>
  <c r="H55" i="66"/>
  <c r="C119" i="66"/>
  <c r="I119" i="66"/>
  <c r="B119" i="66"/>
  <c r="B121" i="74"/>
  <c r="L107" i="74"/>
  <c r="L111" i="74"/>
  <c r="M72" i="73"/>
  <c r="D118" i="66"/>
  <c r="D29" i="66"/>
  <c r="G163" i="66"/>
  <c r="I163" i="66"/>
  <c r="N81" i="66"/>
  <c r="N117" i="66"/>
  <c r="N67" i="66" s="1"/>
  <c r="N118" i="66"/>
  <c r="H118" i="66"/>
  <c r="H117" i="66"/>
  <c r="E118" i="66"/>
  <c r="E117" i="66"/>
  <c r="E65" i="66" s="1"/>
  <c r="D117" i="66"/>
  <c r="D50" i="66" s="1"/>
  <c r="F117" i="66"/>
  <c r="F118" i="66"/>
  <c r="O118" i="66"/>
  <c r="O117" i="66"/>
  <c r="O67" i="66" s="1"/>
  <c r="G118" i="66"/>
  <c r="G117" i="66"/>
  <c r="H163" i="66"/>
  <c r="L118" i="66"/>
  <c r="L117" i="66"/>
  <c r="L65" i="66" s="1"/>
  <c r="M118" i="66"/>
  <c r="M117" i="66"/>
  <c r="M67" i="66" s="1"/>
  <c r="J117" i="66"/>
  <c r="J65" i="66" s="1"/>
  <c r="J118" i="66"/>
  <c r="I118" i="66"/>
  <c r="I117" i="66"/>
  <c r="I67" i="66" s="1"/>
  <c r="K117" i="66"/>
  <c r="K50" i="66" s="1"/>
  <c r="K118" i="66"/>
  <c r="C117" i="66"/>
  <c r="C52" i="66" s="1"/>
  <c r="C118" i="66"/>
  <c r="B117" i="66"/>
  <c r="B67" i="66" s="1"/>
  <c r="B118" i="66"/>
  <c r="B51" i="66" s="1"/>
  <c r="N52" i="66"/>
  <c r="H50" i="66"/>
  <c r="H65" i="66"/>
  <c r="H67" i="66"/>
  <c r="H52" i="66"/>
  <c r="F50" i="66"/>
  <c r="F67" i="66"/>
  <c r="F65" i="66"/>
  <c r="F52" i="66"/>
  <c r="L50" i="66"/>
  <c r="L68" i="66" s="1"/>
  <c r="M52" i="66"/>
  <c r="I165" i="66"/>
  <c r="H165" i="66"/>
  <c r="D31" i="66"/>
  <c r="K109" i="66"/>
  <c r="K107" i="66"/>
  <c r="K29" i="66" s="1"/>
  <c r="C109" i="66"/>
  <c r="C107" i="66"/>
  <c r="C29" i="66" s="1"/>
  <c r="J109" i="66"/>
  <c r="J107" i="66"/>
  <c r="J29" i="66" s="1"/>
  <c r="L109" i="66"/>
  <c r="L107" i="66"/>
  <c r="L29" i="66" s="1"/>
  <c r="N109" i="66"/>
  <c r="N107" i="66"/>
  <c r="N29" i="66" s="1"/>
  <c r="M109" i="66"/>
  <c r="M107" i="66"/>
  <c r="M29" i="66" s="1"/>
  <c r="G165" i="66"/>
  <c r="H109" i="66"/>
  <c r="H107" i="66"/>
  <c r="H29" i="66" s="1"/>
  <c r="D30" i="66"/>
  <c r="F107" i="66"/>
  <c r="F29" i="66" s="1"/>
  <c r="F109" i="66"/>
  <c r="E109" i="66"/>
  <c r="E107" i="66"/>
  <c r="E29" i="66" s="1"/>
  <c r="B109" i="66"/>
  <c r="B107" i="66"/>
  <c r="B29" i="66" s="1"/>
  <c r="O109" i="66"/>
  <c r="O107" i="66"/>
  <c r="O29" i="66" s="1"/>
  <c r="G109" i="66"/>
  <c r="G107" i="66"/>
  <c r="G29" i="66" s="1"/>
  <c r="I109" i="66"/>
  <c r="I107" i="66"/>
  <c r="I29" i="66" s="1"/>
  <c r="P26" i="66"/>
  <c r="P25" i="66"/>
  <c r="E35" i="67"/>
  <c r="E80" i="67"/>
  <c r="E83" i="67"/>
  <c r="E37" i="67" s="1"/>
  <c r="N30" i="67"/>
  <c r="P30" i="67" s="1"/>
  <c r="N28" i="67"/>
  <c r="N32" i="67"/>
  <c r="P32" i="67" s="1"/>
  <c r="P31" i="67"/>
  <c r="B35" i="67"/>
  <c r="B80" i="67"/>
  <c r="M36" i="67"/>
  <c r="P36" i="67" s="1"/>
  <c r="M35" i="67"/>
  <c r="N34" i="67"/>
  <c r="M34" i="67"/>
  <c r="M104" i="67" s="1"/>
  <c r="M83" i="67"/>
  <c r="M37" i="67" s="1"/>
  <c r="P106" i="66"/>
  <c r="P102" i="66"/>
  <c r="P100" i="66"/>
  <c r="P104" i="66"/>
  <c r="P103" i="66"/>
  <c r="P113" i="66"/>
  <c r="P58" i="66"/>
  <c r="P57" i="66"/>
  <c r="P99" i="66"/>
  <c r="P105" i="66"/>
  <c r="P112" i="66"/>
  <c r="P101" i="66"/>
  <c r="N50" i="66" l="1"/>
  <c r="N65" i="66"/>
  <c r="N66" i="66"/>
  <c r="N51" i="66"/>
  <c r="I66" i="66"/>
  <c r="I51" i="66"/>
  <c r="M66" i="66"/>
  <c r="M51" i="66"/>
  <c r="F66" i="66"/>
  <c r="F51" i="66"/>
  <c r="E66" i="66"/>
  <c r="E51" i="66"/>
  <c r="K66" i="66"/>
  <c r="K51" i="66"/>
  <c r="J66" i="66"/>
  <c r="J51" i="66"/>
  <c r="G66" i="66"/>
  <c r="G51" i="66"/>
  <c r="C81" i="66"/>
  <c r="C66" i="66"/>
  <c r="C51" i="66"/>
  <c r="O66" i="66"/>
  <c r="O51" i="66"/>
  <c r="M50" i="66"/>
  <c r="L66" i="66"/>
  <c r="L51" i="66"/>
  <c r="H66" i="66"/>
  <c r="H51" i="66"/>
  <c r="H121" i="66" s="1"/>
  <c r="M110" i="67"/>
  <c r="M111" i="67" s="1"/>
  <c r="N104" i="67"/>
  <c r="P35" i="67"/>
  <c r="P37" i="67"/>
  <c r="B34" i="67"/>
  <c r="E34" i="67"/>
  <c r="E104" i="67" s="1"/>
  <c r="F68" i="66"/>
  <c r="H68" i="66"/>
  <c r="N68" i="66"/>
  <c r="P69" i="66"/>
  <c r="I50" i="66"/>
  <c r="I52" i="66"/>
  <c r="J52" i="66"/>
  <c r="O65" i="66"/>
  <c r="K52" i="66"/>
  <c r="B50" i="66"/>
  <c r="K65" i="66"/>
  <c r="K68" i="66" s="1"/>
  <c r="I65" i="66"/>
  <c r="J67" i="66"/>
  <c r="M65" i="66"/>
  <c r="M68" i="66" s="1"/>
  <c r="O50" i="66"/>
  <c r="E67" i="66"/>
  <c r="D68" i="66"/>
  <c r="J50" i="66"/>
  <c r="J68" i="66" s="1"/>
  <c r="O52" i="66"/>
  <c r="E52" i="66"/>
  <c r="C65" i="66"/>
  <c r="L67" i="66"/>
  <c r="E50" i="66"/>
  <c r="E68" i="66" s="1"/>
  <c r="L52" i="66"/>
  <c r="B65" i="66"/>
  <c r="B52" i="66"/>
  <c r="C50" i="66"/>
  <c r="C67" i="66"/>
  <c r="K67" i="66"/>
  <c r="B66" i="66"/>
  <c r="P118" i="66"/>
  <c r="G65" i="66"/>
  <c r="G50" i="66"/>
  <c r="G67" i="66"/>
  <c r="G52" i="66"/>
  <c r="G30" i="66"/>
  <c r="G31" i="66"/>
  <c r="B30" i="66"/>
  <c r="B31" i="66"/>
  <c r="F30" i="66"/>
  <c r="F31" i="66"/>
  <c r="J30" i="66"/>
  <c r="J116" i="66" s="1"/>
  <c r="J31" i="66"/>
  <c r="H30" i="66"/>
  <c r="H31" i="66"/>
  <c r="M30" i="66"/>
  <c r="M31" i="66"/>
  <c r="L30" i="66"/>
  <c r="L31" i="66"/>
  <c r="K30" i="66"/>
  <c r="K116" i="66" s="1"/>
  <c r="K31" i="66"/>
  <c r="N30" i="66"/>
  <c r="N31" i="66"/>
  <c r="C30" i="66"/>
  <c r="C31" i="66"/>
  <c r="I30" i="66"/>
  <c r="I31" i="66"/>
  <c r="O30" i="66"/>
  <c r="O31" i="66"/>
  <c r="E30" i="66"/>
  <c r="E31" i="66"/>
  <c r="P119" i="66"/>
  <c r="P81" i="67"/>
  <c r="P80" i="67"/>
  <c r="P84" i="67"/>
  <c r="P82" i="67"/>
  <c r="P83" i="67"/>
  <c r="P28" i="67"/>
  <c r="P55" i="66"/>
  <c r="O115" i="64"/>
  <c r="N115" i="64"/>
  <c r="M115" i="64"/>
  <c r="L115" i="64"/>
  <c r="K115" i="64"/>
  <c r="J115" i="64"/>
  <c r="I115" i="64"/>
  <c r="G115" i="64"/>
  <c r="F115" i="64"/>
  <c r="E115" i="64"/>
  <c r="D115" i="64"/>
  <c r="C115" i="64"/>
  <c r="B115" i="64"/>
  <c r="O114" i="64"/>
  <c r="N114" i="64"/>
  <c r="M114" i="64"/>
  <c r="L114" i="64"/>
  <c r="K114" i="64"/>
  <c r="J114" i="64"/>
  <c r="I114" i="64"/>
  <c r="G114" i="64"/>
  <c r="F114" i="64"/>
  <c r="E114" i="64"/>
  <c r="D114" i="64"/>
  <c r="C114" i="64"/>
  <c r="B114" i="64"/>
  <c r="N112" i="64"/>
  <c r="M112" i="64"/>
  <c r="L112" i="64"/>
  <c r="K112" i="64"/>
  <c r="J112" i="64"/>
  <c r="F112" i="64"/>
  <c r="E112" i="64"/>
  <c r="D112" i="64"/>
  <c r="C112" i="64"/>
  <c r="B112" i="64"/>
  <c r="O21" i="64"/>
  <c r="N21" i="64"/>
  <c r="M21" i="64"/>
  <c r="L21" i="64"/>
  <c r="K21" i="64"/>
  <c r="J21" i="64"/>
  <c r="I21" i="64"/>
  <c r="H21" i="64"/>
  <c r="G21" i="64"/>
  <c r="F21" i="64"/>
  <c r="E21" i="64"/>
  <c r="D21" i="64"/>
  <c r="C21" i="64"/>
  <c r="B21" i="64"/>
  <c r="L20" i="64"/>
  <c r="K20" i="64"/>
  <c r="I20" i="64"/>
  <c r="F20" i="64"/>
  <c r="E20" i="64"/>
  <c r="C20" i="64"/>
  <c r="B20" i="64"/>
  <c r="O18" i="64"/>
  <c r="N18" i="64"/>
  <c r="M18" i="64"/>
  <c r="L18" i="64"/>
  <c r="K18" i="64"/>
  <c r="J18" i="64"/>
  <c r="I18" i="64"/>
  <c r="H18" i="64"/>
  <c r="F18" i="64"/>
  <c r="E18" i="64"/>
  <c r="D18" i="64"/>
  <c r="C18" i="64"/>
  <c r="B18" i="64"/>
  <c r="O17" i="64"/>
  <c r="O74" i="64" s="1"/>
  <c r="N17" i="64"/>
  <c r="M17" i="64"/>
  <c r="L17" i="64"/>
  <c r="K17" i="64"/>
  <c r="J17" i="64"/>
  <c r="I17" i="64"/>
  <c r="I74" i="64" s="1"/>
  <c r="H17" i="64"/>
  <c r="H74" i="64" s="1"/>
  <c r="G17" i="64"/>
  <c r="G74" i="64" s="1"/>
  <c r="F17" i="64"/>
  <c r="E17" i="64"/>
  <c r="D17" i="64"/>
  <c r="C17" i="64"/>
  <c r="B17" i="64"/>
  <c r="B80" i="64" s="1"/>
  <c r="O15" i="64"/>
  <c r="N15" i="64"/>
  <c r="M15" i="64"/>
  <c r="L15" i="64"/>
  <c r="K15" i="64"/>
  <c r="J15" i="64"/>
  <c r="I15" i="64"/>
  <c r="H15" i="64"/>
  <c r="F15" i="64"/>
  <c r="E15" i="64"/>
  <c r="D15" i="64"/>
  <c r="C15" i="64"/>
  <c r="B15" i="64"/>
  <c r="O14" i="64"/>
  <c r="O127" i="64" s="1"/>
  <c r="N14" i="64"/>
  <c r="M14" i="64"/>
  <c r="L14" i="64"/>
  <c r="K14" i="64"/>
  <c r="J14" i="64"/>
  <c r="I14" i="64"/>
  <c r="I127" i="64" s="1"/>
  <c r="H14" i="64"/>
  <c r="H127" i="64" s="1"/>
  <c r="G14" i="64"/>
  <c r="G109" i="64" s="1"/>
  <c r="G140" i="66" s="1"/>
  <c r="G128" i="67" s="1"/>
  <c r="G118" i="68" s="1"/>
  <c r="F14" i="64"/>
  <c r="E14" i="64"/>
  <c r="D14" i="64"/>
  <c r="C14" i="64"/>
  <c r="B14" i="64"/>
  <c r="O13" i="64"/>
  <c r="N13" i="64"/>
  <c r="M13" i="64"/>
  <c r="L13" i="64"/>
  <c r="K13" i="64"/>
  <c r="J13" i="64"/>
  <c r="I13" i="64"/>
  <c r="H13" i="64"/>
  <c r="G13" i="64"/>
  <c r="F13" i="64"/>
  <c r="E13" i="64"/>
  <c r="D13" i="64"/>
  <c r="C13" i="64"/>
  <c r="B13" i="64"/>
  <c r="N12" i="64"/>
  <c r="M12" i="64"/>
  <c r="L12" i="64"/>
  <c r="K12" i="64"/>
  <c r="J12" i="64"/>
  <c r="I12" i="64"/>
  <c r="H12" i="64"/>
  <c r="F12" i="64"/>
  <c r="E12" i="64"/>
  <c r="D12" i="64"/>
  <c r="C12" i="64"/>
  <c r="B12" i="64"/>
  <c r="O9" i="64"/>
  <c r="N9" i="64"/>
  <c r="M9" i="64"/>
  <c r="L9" i="64"/>
  <c r="K9" i="64"/>
  <c r="J9" i="64"/>
  <c r="I9" i="64"/>
  <c r="H9" i="64"/>
  <c r="G9" i="64"/>
  <c r="F9" i="64"/>
  <c r="E9" i="64"/>
  <c r="D9" i="64"/>
  <c r="C9" i="64"/>
  <c r="B9" i="64"/>
  <c r="C68" i="66" l="1"/>
  <c r="L116" i="66"/>
  <c r="H116" i="66"/>
  <c r="H122" i="66" s="1"/>
  <c r="F116" i="66"/>
  <c r="F122" i="66" s="1"/>
  <c r="F123" i="66" s="1"/>
  <c r="F124" i="66" s="1"/>
  <c r="F53" i="66" s="1"/>
  <c r="G116" i="66"/>
  <c r="O73" i="64"/>
  <c r="O66" i="64" s="1"/>
  <c r="O116" i="66"/>
  <c r="O122" i="66" s="1"/>
  <c r="C116" i="66"/>
  <c r="E110" i="67"/>
  <c r="E111" i="67" s="1"/>
  <c r="P34" i="67"/>
  <c r="B104" i="67"/>
  <c r="O68" i="66"/>
  <c r="B68" i="66"/>
  <c r="G68" i="66"/>
  <c r="I68" i="66"/>
  <c r="G121" i="66"/>
  <c r="L115" i="66"/>
  <c r="F46" i="66"/>
  <c r="K46" i="66"/>
  <c r="P31" i="66"/>
  <c r="P29" i="66"/>
  <c r="F115" i="66"/>
  <c r="K115" i="66"/>
  <c r="P30" i="66"/>
  <c r="L46" i="66"/>
  <c r="B128" i="64"/>
  <c r="N128" i="64"/>
  <c r="C128" i="64"/>
  <c r="K128" i="64"/>
  <c r="O128" i="64"/>
  <c r="O86" i="64"/>
  <c r="O89" i="64" s="1"/>
  <c r="F128" i="64"/>
  <c r="J128" i="64"/>
  <c r="D128" i="64"/>
  <c r="H128" i="64"/>
  <c r="H86" i="64" s="1"/>
  <c r="L128" i="64"/>
  <c r="E128" i="64"/>
  <c r="I128" i="64"/>
  <c r="I86" i="64" s="1"/>
  <c r="M128" i="64"/>
  <c r="G127" i="64"/>
  <c r="G128" i="64" s="1"/>
  <c r="G86" i="64" s="1"/>
  <c r="G89" i="64" s="1"/>
  <c r="G79" i="64"/>
  <c r="G76" i="64"/>
  <c r="G77" i="64"/>
  <c r="G28" i="64" s="1"/>
  <c r="B24" i="64"/>
  <c r="B23" i="64"/>
  <c r="F23" i="64"/>
  <c r="F24" i="64"/>
  <c r="J23" i="64"/>
  <c r="J24" i="64"/>
  <c r="N23" i="64"/>
  <c r="N24" i="64"/>
  <c r="H71" i="64"/>
  <c r="H73" i="64"/>
  <c r="I73" i="64"/>
  <c r="I71" i="64"/>
  <c r="I41" i="66" s="1"/>
  <c r="P41" i="66" s="1"/>
  <c r="C24" i="64"/>
  <c r="C23" i="64"/>
  <c r="G24" i="64"/>
  <c r="G23" i="64"/>
  <c r="K24" i="64"/>
  <c r="K23" i="64"/>
  <c r="O87" i="64"/>
  <c r="O88" i="64"/>
  <c r="O24" i="64"/>
  <c r="O23" i="64"/>
  <c r="D23" i="64"/>
  <c r="D24" i="64"/>
  <c r="H88" i="64"/>
  <c r="H23" i="64"/>
  <c r="H24" i="64"/>
  <c r="L23" i="64"/>
  <c r="L24" i="64"/>
  <c r="G73" i="64"/>
  <c r="G71" i="64"/>
  <c r="E23" i="64"/>
  <c r="E24" i="64"/>
  <c r="I88" i="64"/>
  <c r="I23" i="64"/>
  <c r="I24" i="64"/>
  <c r="M23" i="64"/>
  <c r="M24" i="64"/>
  <c r="C80" i="64"/>
  <c r="C75" i="64"/>
  <c r="G80" i="64"/>
  <c r="G75" i="64"/>
  <c r="K80" i="64"/>
  <c r="K75" i="64"/>
  <c r="O80" i="64"/>
  <c r="O75" i="64"/>
  <c r="B75" i="64"/>
  <c r="D80" i="64"/>
  <c r="D75" i="64"/>
  <c r="H80" i="64"/>
  <c r="H75" i="64"/>
  <c r="L80" i="64"/>
  <c r="L75" i="64"/>
  <c r="E80" i="64"/>
  <c r="E75" i="64"/>
  <c r="I80" i="64"/>
  <c r="I75" i="64"/>
  <c r="M80" i="64"/>
  <c r="M75" i="64"/>
  <c r="F80" i="64"/>
  <c r="F75" i="64"/>
  <c r="J80" i="64"/>
  <c r="J75" i="64"/>
  <c r="N80" i="64"/>
  <c r="N75" i="64"/>
  <c r="D129" i="64"/>
  <c r="L129" i="64"/>
  <c r="K127" i="64"/>
  <c r="K87" i="64" s="1"/>
  <c r="K126" i="64"/>
  <c r="K74" i="64" s="1"/>
  <c r="I129" i="64"/>
  <c r="I87" i="64" s="1"/>
  <c r="E127" i="64"/>
  <c r="E87" i="64" s="1"/>
  <c r="E126" i="64"/>
  <c r="E74" i="64" s="1"/>
  <c r="L126" i="64"/>
  <c r="L74" i="64" s="1"/>
  <c r="L127" i="64"/>
  <c r="L88" i="64" s="1"/>
  <c r="P115" i="64"/>
  <c r="B129" i="64"/>
  <c r="B33" i="64"/>
  <c r="F129" i="64"/>
  <c r="J129" i="64"/>
  <c r="N129" i="64"/>
  <c r="B126" i="64"/>
  <c r="B74" i="64" s="1"/>
  <c r="B127" i="64"/>
  <c r="F126" i="64"/>
  <c r="F74" i="64" s="1"/>
  <c r="F127" i="64"/>
  <c r="F86" i="64" s="1"/>
  <c r="M126" i="64"/>
  <c r="M74" i="64" s="1"/>
  <c r="M127" i="64"/>
  <c r="M88" i="64" s="1"/>
  <c r="H129" i="64"/>
  <c r="H87" i="64" s="1"/>
  <c r="D127" i="64"/>
  <c r="D87" i="64" s="1"/>
  <c r="D126" i="64"/>
  <c r="D74" i="64" s="1"/>
  <c r="E33" i="64"/>
  <c r="E44" i="64" s="1"/>
  <c r="E129" i="64"/>
  <c r="M129" i="64"/>
  <c r="H46" i="64"/>
  <c r="H33" i="64"/>
  <c r="H44" i="64" s="1"/>
  <c r="C129" i="64"/>
  <c r="C33" i="64"/>
  <c r="C44" i="64" s="1"/>
  <c r="K129" i="64"/>
  <c r="O129" i="64"/>
  <c r="C126" i="64"/>
  <c r="C74" i="64" s="1"/>
  <c r="C127" i="64"/>
  <c r="C86" i="64" s="1"/>
  <c r="J127" i="64"/>
  <c r="J87" i="64" s="1"/>
  <c r="J126" i="64"/>
  <c r="J74" i="64" s="1"/>
  <c r="N127" i="64"/>
  <c r="N86" i="64" s="1"/>
  <c r="N126" i="64"/>
  <c r="N74" i="64" s="1"/>
  <c r="D57" i="64"/>
  <c r="B76" i="64"/>
  <c r="B29" i="64" s="1"/>
  <c r="B78" i="64"/>
  <c r="J78" i="64"/>
  <c r="J76" i="64"/>
  <c r="J29" i="64" s="1"/>
  <c r="E76" i="64"/>
  <c r="E29" i="64" s="1"/>
  <c r="E78" i="64"/>
  <c r="I76" i="64"/>
  <c r="I29" i="64" s="1"/>
  <c r="I78" i="64"/>
  <c r="M76" i="64"/>
  <c r="M28" i="64" s="1"/>
  <c r="M78" i="64"/>
  <c r="F78" i="64"/>
  <c r="F76" i="64"/>
  <c r="F29" i="64" s="1"/>
  <c r="N78" i="64"/>
  <c r="N76" i="64"/>
  <c r="N29" i="64" s="1"/>
  <c r="C76" i="64"/>
  <c r="C28" i="64" s="1"/>
  <c r="C78" i="64"/>
  <c r="G78" i="64"/>
  <c r="K76" i="64"/>
  <c r="K29" i="64" s="1"/>
  <c r="K78" i="64"/>
  <c r="O76" i="64"/>
  <c r="O29" i="64" s="1"/>
  <c r="O78" i="64"/>
  <c r="D76" i="64"/>
  <c r="D29" i="64" s="1"/>
  <c r="D78" i="64"/>
  <c r="H76" i="64"/>
  <c r="H27" i="64" s="1"/>
  <c r="H78" i="64"/>
  <c r="L76" i="64"/>
  <c r="L78" i="64"/>
  <c r="G57" i="64"/>
  <c r="G43" i="64" s="1"/>
  <c r="P112" i="64"/>
  <c r="P114" i="64"/>
  <c r="D43" i="64"/>
  <c r="H45" i="64"/>
  <c r="H57" i="64"/>
  <c r="D117" i="72"/>
  <c r="P87" i="71"/>
  <c r="P161" i="71"/>
  <c r="C81" i="64"/>
  <c r="C57" i="64" s="1"/>
  <c r="E81" i="64"/>
  <c r="E57" i="64" s="1"/>
  <c r="B81" i="64"/>
  <c r="B57" i="64" s="1"/>
  <c r="F81" i="64"/>
  <c r="F57" i="64" s="1"/>
  <c r="N43" i="67"/>
  <c r="N103" i="67"/>
  <c r="B43" i="67"/>
  <c r="B103" i="67"/>
  <c r="P105" i="67"/>
  <c r="P49" i="67"/>
  <c r="P61" i="67"/>
  <c r="E43" i="67"/>
  <c r="E103" i="67"/>
  <c r="I121" i="66"/>
  <c r="P117" i="66"/>
  <c r="P30" i="64"/>
  <c r="B86" i="64" l="1"/>
  <c r="J86" i="64"/>
  <c r="J39" i="64" s="1"/>
  <c r="I116" i="66"/>
  <c r="B110" i="67"/>
  <c r="B111" i="67" s="1"/>
  <c r="P68" i="66"/>
  <c r="G122" i="66"/>
  <c r="P75" i="64"/>
  <c r="G88" i="64"/>
  <c r="P74" i="64"/>
  <c r="M86" i="64"/>
  <c r="M39" i="64" s="1"/>
  <c r="E86" i="64"/>
  <c r="L86" i="64"/>
  <c r="L39" i="64" s="1"/>
  <c r="D86" i="64"/>
  <c r="D55" i="64" s="1"/>
  <c r="K86" i="64"/>
  <c r="K41" i="64" s="1"/>
  <c r="G29" i="64"/>
  <c r="G27" i="64"/>
  <c r="G129" i="64"/>
  <c r="G87" i="64" s="1"/>
  <c r="L87" i="64"/>
  <c r="L40" i="64" s="1"/>
  <c r="C27" i="64"/>
  <c r="F27" i="64"/>
  <c r="F71" i="64"/>
  <c r="K88" i="64"/>
  <c r="J71" i="64"/>
  <c r="J88" i="64"/>
  <c r="K71" i="64"/>
  <c r="C88" i="64"/>
  <c r="D73" i="64"/>
  <c r="D65" i="64" s="1"/>
  <c r="I28" i="64"/>
  <c r="E27" i="64"/>
  <c r="E88" i="64"/>
  <c r="K73" i="64"/>
  <c r="K66" i="64" s="1"/>
  <c r="C73" i="64"/>
  <c r="C66" i="64" s="1"/>
  <c r="M71" i="64"/>
  <c r="E71" i="64"/>
  <c r="N73" i="64"/>
  <c r="N66" i="64" s="1"/>
  <c r="F55" i="64"/>
  <c r="P24" i="64"/>
  <c r="I27" i="64"/>
  <c r="D71" i="64"/>
  <c r="N68" i="64"/>
  <c r="N27" i="64"/>
  <c r="J27" i="64"/>
  <c r="D27" i="64"/>
  <c r="M27" i="64"/>
  <c r="B27" i="64"/>
  <c r="L27" i="64"/>
  <c r="K27" i="64"/>
  <c r="E41" i="64"/>
  <c r="O27" i="64"/>
  <c r="D88" i="64"/>
  <c r="C41" i="64"/>
  <c r="M73" i="64"/>
  <c r="M65" i="64" s="1"/>
  <c r="E73" i="64"/>
  <c r="E65" i="64" s="1"/>
  <c r="N71" i="64"/>
  <c r="N87" i="66" s="1"/>
  <c r="N36" i="66" s="1"/>
  <c r="F88" i="64"/>
  <c r="B87" i="64"/>
  <c r="B40" i="64" s="1"/>
  <c r="L73" i="64"/>
  <c r="L66" i="64" s="1"/>
  <c r="B71" i="64"/>
  <c r="B86" i="66" s="1"/>
  <c r="B35" i="66" s="1"/>
  <c r="C71" i="64"/>
  <c r="N87" i="64"/>
  <c r="N54" i="64" s="1"/>
  <c r="P23" i="64"/>
  <c r="M87" i="64"/>
  <c r="M40" i="64" s="1"/>
  <c r="F73" i="64"/>
  <c r="F66" i="64" s="1"/>
  <c r="C87" i="64"/>
  <c r="C40" i="64" s="1"/>
  <c r="J73" i="64"/>
  <c r="J66" i="64" s="1"/>
  <c r="N88" i="64"/>
  <c r="F87" i="64"/>
  <c r="F54" i="64" s="1"/>
  <c r="B88" i="64"/>
  <c r="L71" i="64"/>
  <c r="B73" i="64"/>
  <c r="K28" i="64"/>
  <c r="J28" i="64"/>
  <c r="C68" i="64"/>
  <c r="L29" i="64"/>
  <c r="O28" i="64"/>
  <c r="G65" i="64"/>
  <c r="G66" i="64"/>
  <c r="E28" i="64"/>
  <c r="D28" i="64"/>
  <c r="F28" i="64"/>
  <c r="M29" i="64"/>
  <c r="C29" i="64"/>
  <c r="B28" i="64"/>
  <c r="L28" i="64"/>
  <c r="O65" i="64"/>
  <c r="H29" i="64"/>
  <c r="H28" i="64"/>
  <c r="N28" i="64"/>
  <c r="P57" i="64"/>
  <c r="E40" i="64"/>
  <c r="E54" i="64"/>
  <c r="B55" i="64"/>
  <c r="B41" i="64"/>
  <c r="B39" i="64"/>
  <c r="B53" i="64"/>
  <c r="K54" i="64"/>
  <c r="K40" i="64"/>
  <c r="O54" i="64"/>
  <c r="O40" i="64"/>
  <c r="F41" i="64"/>
  <c r="O41" i="64"/>
  <c r="O55" i="64"/>
  <c r="O39" i="64"/>
  <c r="D41" i="64"/>
  <c r="D40" i="64"/>
  <c r="D54" i="64"/>
  <c r="N41" i="64"/>
  <c r="N55" i="64"/>
  <c r="N39" i="64"/>
  <c r="J54" i="64"/>
  <c r="J40" i="64"/>
  <c r="P126" i="64"/>
  <c r="O53" i="64"/>
  <c r="C43" i="64"/>
  <c r="H43" i="64"/>
  <c r="N53" i="64"/>
  <c r="F43" i="64"/>
  <c r="E43" i="64"/>
  <c r="D53" i="64"/>
  <c r="B43" i="64"/>
  <c r="C114" i="73"/>
  <c r="D72" i="72"/>
  <c r="P117" i="72"/>
  <c r="P48" i="67"/>
  <c r="N109" i="67"/>
  <c r="N110" i="67" s="1"/>
  <c r="N111" i="67" s="1"/>
  <c r="O121" i="66"/>
  <c r="E121" i="66"/>
  <c r="D121" i="66"/>
  <c r="M121" i="66"/>
  <c r="P51" i="66"/>
  <c r="P52" i="66"/>
  <c r="P65" i="66"/>
  <c r="P67" i="66"/>
  <c r="N121" i="66"/>
  <c r="C121" i="66"/>
  <c r="K121" i="66"/>
  <c r="K122" i="66" s="1"/>
  <c r="B121" i="66"/>
  <c r="P50" i="66"/>
  <c r="L121" i="66"/>
  <c r="P66" i="66"/>
  <c r="F121" i="66"/>
  <c r="F60" i="66"/>
  <c r="F62" i="66" s="1"/>
  <c r="J121" i="66"/>
  <c r="J122" i="66" s="1"/>
  <c r="P81" i="64"/>
  <c r="P82" i="64"/>
  <c r="D123" i="50"/>
  <c r="E123" i="50"/>
  <c r="G123" i="50"/>
  <c r="H123" i="50"/>
  <c r="I123" i="50"/>
  <c r="K123" i="50"/>
  <c r="L123" i="50"/>
  <c r="M123" i="50"/>
  <c r="N123" i="50"/>
  <c r="O123" i="50"/>
  <c r="C107" i="25"/>
  <c r="N40" i="64" l="1"/>
  <c r="C85" i="64"/>
  <c r="D66" i="64"/>
  <c r="N84" i="66"/>
  <c r="N33" i="66" s="1"/>
  <c r="N116" i="66" s="1"/>
  <c r="N122" i="66" s="1"/>
  <c r="C65" i="64"/>
  <c r="L53" i="64"/>
  <c r="L56" i="64" s="1"/>
  <c r="E104" i="63"/>
  <c r="E108" i="64" s="1"/>
  <c r="E139" i="66" s="1"/>
  <c r="E127" i="67" s="1"/>
  <c r="E117" i="68" s="1"/>
  <c r="E125" i="72" s="1"/>
  <c r="D122" i="73" s="1"/>
  <c r="E127" i="75"/>
  <c r="E87" i="66"/>
  <c r="E36" i="66" s="1"/>
  <c r="E91" i="66"/>
  <c r="E40" i="66" s="1"/>
  <c r="P40" i="66" s="1"/>
  <c r="E85" i="66"/>
  <c r="E34" i="66" s="1"/>
  <c r="P34" i="66" s="1"/>
  <c r="E84" i="66"/>
  <c r="E33" i="66" s="1"/>
  <c r="N104" i="63"/>
  <c r="N108" i="64" s="1"/>
  <c r="N139" i="66" s="1"/>
  <c r="N127" i="67" s="1"/>
  <c r="N117" i="68" s="1"/>
  <c r="N125" i="72" s="1"/>
  <c r="N127" i="75"/>
  <c r="I104" i="63"/>
  <c r="I108" i="64" s="1"/>
  <c r="I139" i="66" s="1"/>
  <c r="I127" i="67" s="1"/>
  <c r="I117" i="68" s="1"/>
  <c r="I127" i="75"/>
  <c r="D104" i="63"/>
  <c r="D108" i="64" s="1"/>
  <c r="D139" i="66" s="1"/>
  <c r="D127" i="75"/>
  <c r="L65" i="64"/>
  <c r="M88" i="66"/>
  <c r="M37" i="66" s="1"/>
  <c r="M84" i="66"/>
  <c r="M33" i="66" s="1"/>
  <c r="M116" i="66" s="1"/>
  <c r="M86" i="66"/>
  <c r="M35" i="66" s="1"/>
  <c r="K104" i="63"/>
  <c r="K108" i="64" s="1"/>
  <c r="K139" i="66" s="1"/>
  <c r="K127" i="67" s="1"/>
  <c r="K117" i="68" s="1"/>
  <c r="K125" i="72" s="1"/>
  <c r="I122" i="73" s="1"/>
  <c r="K127" i="75"/>
  <c r="O104" i="63"/>
  <c r="O108" i="64" s="1"/>
  <c r="O139" i="66" s="1"/>
  <c r="O127" i="67" s="1"/>
  <c r="O117" i="68" s="1"/>
  <c r="O125" i="72" s="1"/>
  <c r="L122" i="73" s="1"/>
  <c r="O127" i="75"/>
  <c r="M104" i="63"/>
  <c r="M108" i="64" s="1"/>
  <c r="M139" i="66" s="1"/>
  <c r="M127" i="67" s="1"/>
  <c r="M117" i="68" s="1"/>
  <c r="M125" i="72" s="1"/>
  <c r="K122" i="73" s="1"/>
  <c r="M127" i="75"/>
  <c r="H104" i="63"/>
  <c r="H108" i="64" s="1"/>
  <c r="H139" i="66" s="1"/>
  <c r="H127" i="67" s="1"/>
  <c r="H117" i="68" s="1"/>
  <c r="H127" i="75"/>
  <c r="L104" i="63"/>
  <c r="L108" i="64" s="1"/>
  <c r="L139" i="66" s="1"/>
  <c r="L127" i="67" s="1"/>
  <c r="L117" i="68" s="1"/>
  <c r="L125" i="72" s="1"/>
  <c r="J122" i="73" s="1"/>
  <c r="L127" i="75"/>
  <c r="G104" i="63"/>
  <c r="G108" i="64" s="1"/>
  <c r="G139" i="66" s="1"/>
  <c r="G127" i="67" s="1"/>
  <c r="G117" i="68" s="1"/>
  <c r="G125" i="72" s="1"/>
  <c r="F122" i="73" s="1"/>
  <c r="G127" i="75"/>
  <c r="N86" i="66"/>
  <c r="N35" i="66" s="1"/>
  <c r="P88" i="66"/>
  <c r="C122" i="66"/>
  <c r="C123" i="66" s="1"/>
  <c r="C124" i="66" s="1"/>
  <c r="L122" i="66"/>
  <c r="L123" i="66" s="1"/>
  <c r="L124" i="66" s="1"/>
  <c r="K123" i="66"/>
  <c r="K124" i="66" s="1"/>
  <c r="B66" i="64"/>
  <c r="P73" i="64"/>
  <c r="L54" i="64"/>
  <c r="D39" i="64"/>
  <c r="D56" i="64" s="1"/>
  <c r="E90" i="66"/>
  <c r="E39" i="66" s="1"/>
  <c r="P39" i="66" s="1"/>
  <c r="B54" i="64"/>
  <c r="L55" i="64"/>
  <c r="E86" i="66"/>
  <c r="E35" i="66" s="1"/>
  <c r="P129" i="64"/>
  <c r="C54" i="64"/>
  <c r="F65" i="64"/>
  <c r="E53" i="64"/>
  <c r="E55" i="64"/>
  <c r="M66" i="64"/>
  <c r="E39" i="64"/>
  <c r="L85" i="64"/>
  <c r="B65" i="64"/>
  <c r="F53" i="64"/>
  <c r="F39" i="64"/>
  <c r="F85" i="64"/>
  <c r="F91" i="64" s="1"/>
  <c r="F92" i="64" s="1"/>
  <c r="J53" i="64"/>
  <c r="J56" i="64" s="1"/>
  <c r="E85" i="64"/>
  <c r="E91" i="64" s="1"/>
  <c r="E92" i="64" s="1"/>
  <c r="M89" i="66"/>
  <c r="M38" i="66" s="1"/>
  <c r="M55" i="64"/>
  <c r="B84" i="66"/>
  <c r="B33" i="66" s="1"/>
  <c r="B116" i="66" s="1"/>
  <c r="J55" i="64"/>
  <c r="C39" i="64"/>
  <c r="C53" i="64"/>
  <c r="N56" i="64"/>
  <c r="K39" i="64"/>
  <c r="M41" i="64"/>
  <c r="C55" i="64"/>
  <c r="F40" i="64"/>
  <c r="K55" i="64"/>
  <c r="J41" i="64"/>
  <c r="M54" i="64"/>
  <c r="K53" i="64"/>
  <c r="M53" i="64"/>
  <c r="M56" i="64" s="1"/>
  <c r="N65" i="64"/>
  <c r="J65" i="64"/>
  <c r="L41" i="64"/>
  <c r="E66" i="64"/>
  <c r="K65" i="64"/>
  <c r="B56" i="64"/>
  <c r="P88" i="64"/>
  <c r="I66" i="64"/>
  <c r="I65" i="64"/>
  <c r="O56" i="64"/>
  <c r="H65" i="64"/>
  <c r="H66" i="64"/>
  <c r="I122" i="66"/>
  <c r="P71" i="64"/>
  <c r="B85" i="64"/>
  <c r="K85" i="64"/>
  <c r="I85" i="64"/>
  <c r="I91" i="64" s="1"/>
  <c r="I92" i="64" s="1"/>
  <c r="J123" i="50"/>
  <c r="H53" i="64"/>
  <c r="P128" i="64"/>
  <c r="B123" i="50"/>
  <c r="P107" i="25"/>
  <c r="C119" i="62"/>
  <c r="P45" i="64"/>
  <c r="C105" i="74"/>
  <c r="C112" i="74"/>
  <c r="L112" i="74" s="1"/>
  <c r="C71" i="73"/>
  <c r="M71" i="73" s="1"/>
  <c r="D125" i="72"/>
  <c r="C122" i="73" s="1"/>
  <c r="I125" i="72"/>
  <c r="G122" i="73" s="1"/>
  <c r="H125" i="72"/>
  <c r="P109" i="67"/>
  <c r="P121" i="66"/>
  <c r="B35" i="64"/>
  <c r="P43" i="64"/>
  <c r="I84" i="64"/>
  <c r="F84" i="64"/>
  <c r="F35" i="64"/>
  <c r="L84" i="64"/>
  <c r="L35" i="64"/>
  <c r="P28" i="64"/>
  <c r="I35" i="64"/>
  <c r="K84" i="64"/>
  <c r="K35" i="64"/>
  <c r="P27" i="64"/>
  <c r="P29" i="64"/>
  <c r="C84" i="64"/>
  <c r="C35" i="64"/>
  <c r="D105" i="25"/>
  <c r="D106" i="25"/>
  <c r="D118" i="62" s="1"/>
  <c r="D115" i="50" s="1"/>
  <c r="D68" i="1"/>
  <c r="E68" i="1"/>
  <c r="F68" i="1"/>
  <c r="G68" i="1"/>
  <c r="H68" i="1"/>
  <c r="I68" i="1"/>
  <c r="J68" i="1"/>
  <c r="K68" i="1"/>
  <c r="L68" i="1"/>
  <c r="M68" i="1"/>
  <c r="N68" i="1"/>
  <c r="O68" i="1"/>
  <c r="P68" i="1"/>
  <c r="C68" i="1"/>
  <c r="C106" i="25"/>
  <c r="C118" i="62" s="1"/>
  <c r="C115" i="50" s="1"/>
  <c r="E106" i="25"/>
  <c r="E118" i="62" s="1"/>
  <c r="E115" i="50" s="1"/>
  <c r="F106" i="25"/>
  <c r="F118" i="62" s="1"/>
  <c r="F115" i="50" s="1"/>
  <c r="G106" i="25"/>
  <c r="G118" i="62" s="1"/>
  <c r="G115" i="50" s="1"/>
  <c r="H106" i="25"/>
  <c r="H118" i="62" s="1"/>
  <c r="H115" i="50" s="1"/>
  <c r="I106" i="25"/>
  <c r="I118" i="62" s="1"/>
  <c r="I115" i="50" s="1"/>
  <c r="J106" i="25"/>
  <c r="J118" i="62" s="1"/>
  <c r="J115" i="50" s="1"/>
  <c r="K106" i="25"/>
  <c r="K118" i="62" s="1"/>
  <c r="K115" i="50" s="1"/>
  <c r="L106" i="25"/>
  <c r="L118" i="62" s="1"/>
  <c r="L115" i="50" s="1"/>
  <c r="M106" i="25"/>
  <c r="M118" i="62" s="1"/>
  <c r="M115" i="50" s="1"/>
  <c r="N106" i="25"/>
  <c r="N118" i="62" s="1"/>
  <c r="N115" i="50" s="1"/>
  <c r="O106" i="25"/>
  <c r="O118" i="62" s="1"/>
  <c r="O115" i="50" s="1"/>
  <c r="B106" i="25"/>
  <c r="B118" i="62" s="1"/>
  <c r="D64" i="1"/>
  <c r="E64" i="1"/>
  <c r="F64" i="1"/>
  <c r="G64" i="1"/>
  <c r="H64" i="1"/>
  <c r="I64" i="1"/>
  <c r="J64" i="1"/>
  <c r="K64" i="1"/>
  <c r="L64" i="1"/>
  <c r="M64" i="1"/>
  <c r="N64" i="1"/>
  <c r="O64" i="1"/>
  <c r="P64" i="1"/>
  <c r="C64" i="1"/>
  <c r="P85" i="66" l="1"/>
  <c r="P35" i="66"/>
  <c r="E116" i="66"/>
  <c r="I96" i="63"/>
  <c r="I119" i="75"/>
  <c r="E96" i="63"/>
  <c r="E119" i="75"/>
  <c r="J104" i="63"/>
  <c r="J108" i="64" s="1"/>
  <c r="J139" i="66" s="1"/>
  <c r="J127" i="67" s="1"/>
  <c r="J117" i="68" s="1"/>
  <c r="J125" i="72" s="1"/>
  <c r="H122" i="73" s="1"/>
  <c r="G120" i="74" s="1"/>
  <c r="J127" i="75"/>
  <c r="L96" i="63"/>
  <c r="L119" i="75"/>
  <c r="C96" i="63"/>
  <c r="C119" i="75"/>
  <c r="B104" i="63"/>
  <c r="B127" i="75"/>
  <c r="O96" i="63"/>
  <c r="O119" i="75"/>
  <c r="K96" i="63"/>
  <c r="K119" i="75"/>
  <c r="G96" i="63"/>
  <c r="G119" i="75"/>
  <c r="M96" i="63"/>
  <c r="M119" i="75"/>
  <c r="D96" i="63"/>
  <c r="D119" i="75"/>
  <c r="H96" i="63"/>
  <c r="H119" i="75"/>
  <c r="B122" i="66"/>
  <c r="N96" i="63"/>
  <c r="N119" i="75"/>
  <c r="J96" i="63"/>
  <c r="J119" i="75"/>
  <c r="F96" i="63"/>
  <c r="F119" i="75"/>
  <c r="P87" i="66"/>
  <c r="B115" i="66"/>
  <c r="P91" i="66"/>
  <c r="P38" i="66"/>
  <c r="P89" i="66"/>
  <c r="P36" i="66"/>
  <c r="P90" i="66"/>
  <c r="P37" i="66"/>
  <c r="E122" i="66"/>
  <c r="E123" i="66" s="1"/>
  <c r="E124" i="66" s="1"/>
  <c r="B123" i="66"/>
  <c r="B124" i="66" s="1"/>
  <c r="I123" i="66"/>
  <c r="I124" i="66" s="1"/>
  <c r="I53" i="66" s="1"/>
  <c r="I60" i="66" s="1"/>
  <c r="P86" i="66"/>
  <c r="F56" i="64"/>
  <c r="K56" i="64"/>
  <c r="E56" i="64"/>
  <c r="C56" i="64"/>
  <c r="I46" i="66"/>
  <c r="P84" i="66"/>
  <c r="P66" i="64"/>
  <c r="P65" i="64"/>
  <c r="I115" i="66"/>
  <c r="G54" i="64"/>
  <c r="G40" i="64"/>
  <c r="H40" i="64"/>
  <c r="H54" i="64"/>
  <c r="H55" i="64"/>
  <c r="H39" i="64"/>
  <c r="H56" i="64" s="1"/>
  <c r="H41" i="64"/>
  <c r="I41" i="64"/>
  <c r="I55" i="64"/>
  <c r="I39" i="64"/>
  <c r="G41" i="64"/>
  <c r="G55" i="64"/>
  <c r="G39" i="64"/>
  <c r="D117" i="62"/>
  <c r="I40" i="64"/>
  <c r="I54" i="64"/>
  <c r="I53" i="64"/>
  <c r="G53" i="64"/>
  <c r="P86" i="64"/>
  <c r="P87" i="64"/>
  <c r="B108" i="64"/>
  <c r="D114" i="50"/>
  <c r="D118" i="75" s="1"/>
  <c r="D72" i="75" s="1"/>
  <c r="C116" i="50"/>
  <c r="C120" i="75" s="1"/>
  <c r="P119" i="62"/>
  <c r="B115" i="50"/>
  <c r="P118" i="62"/>
  <c r="B46" i="66"/>
  <c r="K120" i="74"/>
  <c r="F120" i="74"/>
  <c r="J120" i="74"/>
  <c r="C120" i="74"/>
  <c r="E120" i="74"/>
  <c r="I120" i="74"/>
  <c r="H120" i="74"/>
  <c r="K53" i="66"/>
  <c r="K60" i="66" s="1"/>
  <c r="K62" i="66" s="1"/>
  <c r="C53" i="66"/>
  <c r="C60" i="66" s="1"/>
  <c r="L53" i="66"/>
  <c r="L60" i="66" s="1"/>
  <c r="L62" i="66" s="1"/>
  <c r="P106" i="25"/>
  <c r="E84" i="64"/>
  <c r="E35" i="64"/>
  <c r="B84" i="64"/>
  <c r="P46" i="64"/>
  <c r="C105" i="25"/>
  <c r="E105" i="25"/>
  <c r="E117" i="62" s="1"/>
  <c r="F105" i="25"/>
  <c r="G105" i="25"/>
  <c r="H105" i="25"/>
  <c r="I105" i="25"/>
  <c r="I117" i="62" s="1"/>
  <c r="J105" i="25"/>
  <c r="K105" i="25"/>
  <c r="K117" i="62" s="1"/>
  <c r="L105" i="25"/>
  <c r="M105" i="25"/>
  <c r="M117" i="62" s="1"/>
  <c r="N105" i="25"/>
  <c r="N117" i="62" s="1"/>
  <c r="O105" i="25"/>
  <c r="O117" i="62" s="1"/>
  <c r="B105" i="25"/>
  <c r="B117" i="62" s="1"/>
  <c r="C71" i="75" l="1"/>
  <c r="P71" i="75" s="1"/>
  <c r="P120" i="75"/>
  <c r="B96" i="63"/>
  <c r="P96" i="63" s="1"/>
  <c r="B119" i="75"/>
  <c r="P119" i="75" s="1"/>
  <c r="M122" i="66"/>
  <c r="P33" i="66"/>
  <c r="E115" i="66"/>
  <c r="E46" i="66"/>
  <c r="I62" i="66"/>
  <c r="I56" i="64"/>
  <c r="I90" i="64"/>
  <c r="G56" i="64"/>
  <c r="H90" i="64"/>
  <c r="G90" i="64"/>
  <c r="P116" i="50"/>
  <c r="G117" i="62"/>
  <c r="G114" i="50" s="1"/>
  <c r="G118" i="75" s="1"/>
  <c r="G72" i="75" s="1"/>
  <c r="L117" i="62"/>
  <c r="L114" i="50" s="1"/>
  <c r="L118" i="75" s="1"/>
  <c r="L72" i="75" s="1"/>
  <c r="F117" i="62"/>
  <c r="F114" i="50" s="1"/>
  <c r="F118" i="75" s="1"/>
  <c r="F72" i="75" s="1"/>
  <c r="D95" i="63"/>
  <c r="B139" i="66"/>
  <c r="B127" i="67" s="1"/>
  <c r="B117" i="68" s="1"/>
  <c r="B125" i="72" s="1"/>
  <c r="B122" i="73" s="1"/>
  <c r="B120" i="74" s="1"/>
  <c r="E114" i="50"/>
  <c r="E118" i="75" s="1"/>
  <c r="E72" i="75" s="1"/>
  <c r="M114" i="50"/>
  <c r="M118" i="75" s="1"/>
  <c r="M72" i="75" s="1"/>
  <c r="I114" i="50"/>
  <c r="I118" i="75" s="1"/>
  <c r="I72" i="75" s="1"/>
  <c r="O114" i="50"/>
  <c r="O118" i="75" s="1"/>
  <c r="O72" i="75" s="1"/>
  <c r="K114" i="50"/>
  <c r="K118" i="75" s="1"/>
  <c r="K72" i="75" s="1"/>
  <c r="N114" i="50"/>
  <c r="N118" i="75" s="1"/>
  <c r="N72" i="75" s="1"/>
  <c r="P115" i="50"/>
  <c r="C97" i="63"/>
  <c r="P97" i="63" s="1"/>
  <c r="B114" i="50"/>
  <c r="B118" i="75" s="1"/>
  <c r="B72" i="75" s="1"/>
  <c r="J117" i="62"/>
  <c r="H117" i="62"/>
  <c r="C117" i="62"/>
  <c r="L113" i="74"/>
  <c r="E53" i="66"/>
  <c r="E60" i="66" s="1"/>
  <c r="P105" i="25"/>
  <c r="M90" i="64"/>
  <c r="B53" i="66"/>
  <c r="O90" i="64"/>
  <c r="N90" i="64"/>
  <c r="P53" i="64"/>
  <c r="K90" i="64"/>
  <c r="K91" i="64" s="1"/>
  <c r="K92" i="64" s="1"/>
  <c r="J90" i="64"/>
  <c r="E90" i="64"/>
  <c r="P54" i="64"/>
  <c r="P39" i="64"/>
  <c r="B90" i="64"/>
  <c r="B91" i="64" s="1"/>
  <c r="B92" i="64" s="1"/>
  <c r="L90" i="64"/>
  <c r="L91" i="64" s="1"/>
  <c r="L92" i="64" s="1"/>
  <c r="F90" i="64"/>
  <c r="D90" i="64"/>
  <c r="P41" i="64"/>
  <c r="P40" i="64"/>
  <c r="P55" i="64"/>
  <c r="C90" i="64"/>
  <c r="C91" i="64" s="1"/>
  <c r="C92" i="64" s="1"/>
  <c r="O27" i="63"/>
  <c r="O18" i="63"/>
  <c r="N18" i="63"/>
  <c r="M18" i="63"/>
  <c r="L18" i="63"/>
  <c r="K18" i="63"/>
  <c r="J18" i="63"/>
  <c r="I18" i="63"/>
  <c r="H18" i="63"/>
  <c r="G18" i="63"/>
  <c r="F18" i="63"/>
  <c r="E18" i="63"/>
  <c r="D18" i="63"/>
  <c r="C18" i="63"/>
  <c r="B18" i="63"/>
  <c r="I17" i="63"/>
  <c r="F17" i="63"/>
  <c r="E17" i="63"/>
  <c r="C17" i="63"/>
  <c r="B17" i="63"/>
  <c r="O16" i="63"/>
  <c r="N16" i="63"/>
  <c r="M16" i="63"/>
  <c r="L16" i="63"/>
  <c r="K16" i="63"/>
  <c r="J16" i="63"/>
  <c r="I16" i="63"/>
  <c r="H16" i="63"/>
  <c r="H44" i="63" s="1"/>
  <c r="G16" i="63"/>
  <c r="F16" i="63"/>
  <c r="E16" i="63"/>
  <c r="D16" i="63"/>
  <c r="C16" i="63"/>
  <c r="B16" i="63"/>
  <c r="O15" i="63"/>
  <c r="N15" i="63"/>
  <c r="M15" i="63"/>
  <c r="L15" i="63"/>
  <c r="K15" i="63"/>
  <c r="J15" i="63"/>
  <c r="I15" i="63"/>
  <c r="H15" i="63"/>
  <c r="G15" i="63"/>
  <c r="F15" i="63"/>
  <c r="E15" i="63"/>
  <c r="D15" i="63"/>
  <c r="C15" i="63"/>
  <c r="B15" i="63"/>
  <c r="O14" i="63"/>
  <c r="N14" i="63"/>
  <c r="M14" i="63"/>
  <c r="L14" i="63"/>
  <c r="K14" i="63"/>
  <c r="J14" i="63"/>
  <c r="I14" i="63"/>
  <c r="H14" i="63"/>
  <c r="G14" i="63"/>
  <c r="F14" i="63"/>
  <c r="E14" i="63"/>
  <c r="D14" i="63"/>
  <c r="C14" i="63"/>
  <c r="B14" i="63"/>
  <c r="O13" i="63"/>
  <c r="O123" i="63" s="1"/>
  <c r="N13" i="63"/>
  <c r="M13" i="63"/>
  <c r="L13" i="63"/>
  <c r="K13" i="63"/>
  <c r="J13" i="63"/>
  <c r="I13" i="63"/>
  <c r="H13" i="63"/>
  <c r="G13" i="63"/>
  <c r="G123" i="63" s="1"/>
  <c r="F13" i="63"/>
  <c r="E13" i="63"/>
  <c r="D13" i="63"/>
  <c r="C13" i="63"/>
  <c r="B13" i="63"/>
  <c r="O12" i="63"/>
  <c r="N12" i="63"/>
  <c r="M12" i="63"/>
  <c r="L12" i="63"/>
  <c r="K12" i="63"/>
  <c r="J12" i="63"/>
  <c r="I12" i="63"/>
  <c r="H12" i="63"/>
  <c r="G12" i="63"/>
  <c r="F12" i="63"/>
  <c r="E12" i="63"/>
  <c r="D12" i="63"/>
  <c r="C12" i="63"/>
  <c r="B12" i="63"/>
  <c r="O11" i="63"/>
  <c r="N11" i="63"/>
  <c r="M11" i="63"/>
  <c r="L11" i="63"/>
  <c r="K11" i="63"/>
  <c r="J11" i="63"/>
  <c r="I11" i="63"/>
  <c r="H11" i="63"/>
  <c r="G11" i="63"/>
  <c r="F11" i="63"/>
  <c r="E11" i="63"/>
  <c r="D11" i="63"/>
  <c r="C11" i="63"/>
  <c r="B11" i="63"/>
  <c r="O8" i="63"/>
  <c r="N8" i="63"/>
  <c r="M8" i="63"/>
  <c r="L8" i="63"/>
  <c r="K8" i="63"/>
  <c r="J8" i="63"/>
  <c r="I8" i="63"/>
  <c r="H8" i="63"/>
  <c r="G8" i="63"/>
  <c r="F8" i="63"/>
  <c r="E8" i="63"/>
  <c r="D8" i="63"/>
  <c r="C8" i="63"/>
  <c r="B8" i="63"/>
  <c r="P56" i="64" l="1"/>
  <c r="E62" i="66"/>
  <c r="F75" i="63"/>
  <c r="J75" i="63"/>
  <c r="N75" i="63"/>
  <c r="E75" i="63"/>
  <c r="C75" i="63"/>
  <c r="G75" i="63"/>
  <c r="K75" i="63"/>
  <c r="O75" i="63"/>
  <c r="B74" i="63"/>
  <c r="B75" i="63"/>
  <c r="D75" i="63"/>
  <c r="H75" i="63"/>
  <c r="L75" i="63"/>
  <c r="G70" i="63"/>
  <c r="G71" i="63"/>
  <c r="G64" i="63" s="1"/>
  <c r="O70" i="63"/>
  <c r="O71" i="63"/>
  <c r="O64" i="63" s="1"/>
  <c r="I75" i="63"/>
  <c r="M75" i="63"/>
  <c r="H76" i="63"/>
  <c r="C110" i="63"/>
  <c r="C124" i="63"/>
  <c r="C108" i="63"/>
  <c r="C125" i="63"/>
  <c r="C111" i="63"/>
  <c r="O110" i="63"/>
  <c r="O125" i="63"/>
  <c r="O111" i="63"/>
  <c r="O124" i="63"/>
  <c r="E76" i="63"/>
  <c r="I76" i="63"/>
  <c r="M76" i="63"/>
  <c r="D125" i="63"/>
  <c r="D111" i="63"/>
  <c r="D110" i="63"/>
  <c r="D124" i="63"/>
  <c r="D108" i="63"/>
  <c r="H111" i="63"/>
  <c r="H110" i="63"/>
  <c r="H108" i="63"/>
  <c r="L125" i="63"/>
  <c r="L111" i="63"/>
  <c r="L108" i="63"/>
  <c r="L110" i="63"/>
  <c r="L124" i="63"/>
  <c r="D76" i="63"/>
  <c r="G110" i="63"/>
  <c r="G111" i="63"/>
  <c r="B76" i="63"/>
  <c r="F76" i="63"/>
  <c r="J76" i="63"/>
  <c r="N76" i="63"/>
  <c r="E124" i="63"/>
  <c r="E108" i="63"/>
  <c r="E125" i="63"/>
  <c r="E111" i="63"/>
  <c r="E110" i="63"/>
  <c r="I111" i="63"/>
  <c r="I110" i="63"/>
  <c r="I108" i="63"/>
  <c r="M124" i="63"/>
  <c r="M125" i="63"/>
  <c r="M111" i="63"/>
  <c r="M108" i="63"/>
  <c r="M110" i="63"/>
  <c r="L76" i="63"/>
  <c r="K110" i="63"/>
  <c r="K108" i="63"/>
  <c r="K124" i="63"/>
  <c r="K125" i="63"/>
  <c r="K111" i="63"/>
  <c r="G24" i="63"/>
  <c r="O24" i="63"/>
  <c r="C76" i="63"/>
  <c r="G76" i="63"/>
  <c r="G72" i="63"/>
  <c r="K76" i="63"/>
  <c r="O76" i="63"/>
  <c r="O72" i="63"/>
  <c r="B125" i="63"/>
  <c r="B111" i="63"/>
  <c r="B124" i="63"/>
  <c r="B108" i="63"/>
  <c r="B110" i="63"/>
  <c r="F110" i="63"/>
  <c r="F124" i="63"/>
  <c r="F108" i="63"/>
  <c r="F125" i="63"/>
  <c r="F111" i="63"/>
  <c r="J110" i="63"/>
  <c r="J108" i="63"/>
  <c r="J124" i="63"/>
  <c r="J111" i="63"/>
  <c r="J125" i="63"/>
  <c r="N110" i="63"/>
  <c r="N108" i="63"/>
  <c r="N124" i="63"/>
  <c r="N125" i="63"/>
  <c r="N111" i="63"/>
  <c r="D21" i="63"/>
  <c r="D20" i="63"/>
  <c r="E20" i="63"/>
  <c r="E21" i="63"/>
  <c r="I20" i="63"/>
  <c r="I21" i="63"/>
  <c r="M20" i="63"/>
  <c r="M21" i="63"/>
  <c r="L21" i="63"/>
  <c r="L20" i="63"/>
  <c r="B21" i="63"/>
  <c r="B20" i="63"/>
  <c r="F20" i="63"/>
  <c r="F21" i="63"/>
  <c r="J20" i="63"/>
  <c r="J21" i="63"/>
  <c r="N20" i="63"/>
  <c r="N21" i="63"/>
  <c r="H21" i="63"/>
  <c r="H20" i="63"/>
  <c r="C21" i="63"/>
  <c r="C20" i="63"/>
  <c r="G21" i="63"/>
  <c r="G20" i="63"/>
  <c r="K20" i="63"/>
  <c r="K21" i="63"/>
  <c r="O21" i="63"/>
  <c r="O20" i="63"/>
  <c r="B95" i="63"/>
  <c r="F95" i="63"/>
  <c r="O95" i="63"/>
  <c r="O65" i="63" s="1"/>
  <c r="E95" i="63"/>
  <c r="G95" i="63"/>
  <c r="M95" i="63"/>
  <c r="N95" i="63"/>
  <c r="K95" i="63"/>
  <c r="L95" i="63"/>
  <c r="I95" i="63"/>
  <c r="P90" i="64"/>
  <c r="P27" i="63"/>
  <c r="P109" i="63"/>
  <c r="J114" i="50"/>
  <c r="J118" i="75" s="1"/>
  <c r="J72" i="75" s="1"/>
  <c r="C114" i="50"/>
  <c r="C118" i="75" s="1"/>
  <c r="H114" i="50"/>
  <c r="H118" i="75" s="1"/>
  <c r="H72" i="75" s="1"/>
  <c r="P117" i="62"/>
  <c r="B30" i="63"/>
  <c r="C30" i="63"/>
  <c r="C42" i="63" s="1"/>
  <c r="H30" i="63"/>
  <c r="H42" i="63" s="1"/>
  <c r="E30" i="63"/>
  <c r="E42" i="63" s="1"/>
  <c r="D55" i="63"/>
  <c r="D41" i="63" s="1"/>
  <c r="G55" i="63"/>
  <c r="G41" i="63" s="1"/>
  <c r="D74" i="63"/>
  <c r="H74" i="63"/>
  <c r="L74" i="63"/>
  <c r="O105" i="63"/>
  <c r="O109" i="64" s="1"/>
  <c r="O140" i="66" s="1"/>
  <c r="O128" i="67" s="1"/>
  <c r="O118" i="68" s="1"/>
  <c r="E74" i="63"/>
  <c r="M74" i="63"/>
  <c r="F74" i="63"/>
  <c r="J74" i="63"/>
  <c r="N74" i="63"/>
  <c r="G105" i="63"/>
  <c r="I74" i="63"/>
  <c r="C74" i="63"/>
  <c r="G74" i="63"/>
  <c r="K74" i="63"/>
  <c r="O74" i="63"/>
  <c r="B77" i="63"/>
  <c r="B55" i="63" s="1"/>
  <c r="H78" i="63"/>
  <c r="H43" i="63" s="1"/>
  <c r="P43" i="63" s="1"/>
  <c r="H77" i="63"/>
  <c r="I42" i="63"/>
  <c r="E77" i="63"/>
  <c r="F77" i="63"/>
  <c r="B60" i="66"/>
  <c r="C77" i="63"/>
  <c r="O27" i="50"/>
  <c r="C15" i="50"/>
  <c r="D15" i="50"/>
  <c r="E15" i="50"/>
  <c r="F15" i="50"/>
  <c r="G15" i="50"/>
  <c r="H15" i="50"/>
  <c r="I15" i="50"/>
  <c r="J15" i="50"/>
  <c r="K15" i="50"/>
  <c r="L15" i="50"/>
  <c r="M15" i="50"/>
  <c r="N15" i="50"/>
  <c r="O15" i="50"/>
  <c r="B15" i="50"/>
  <c r="D73" i="63" l="1"/>
  <c r="G124" i="63"/>
  <c r="G82" i="63" s="1"/>
  <c r="K73" i="63"/>
  <c r="P118" i="75"/>
  <c r="C72" i="75"/>
  <c r="P72" i="75" s="1"/>
  <c r="O83" i="63"/>
  <c r="O52" i="63" s="1"/>
  <c r="C73" i="63"/>
  <c r="M82" i="63"/>
  <c r="M36" i="63" s="1"/>
  <c r="C82" i="63"/>
  <c r="C38" i="63" s="1"/>
  <c r="G65" i="63"/>
  <c r="M73" i="63"/>
  <c r="D82" i="63"/>
  <c r="D51" i="63" s="1"/>
  <c r="P108" i="63"/>
  <c r="N83" i="63"/>
  <c r="N52" i="63" s="1"/>
  <c r="P110" i="63"/>
  <c r="G125" i="63"/>
  <c r="G83" i="63" s="1"/>
  <c r="G52" i="63" s="1"/>
  <c r="L73" i="63"/>
  <c r="J82" i="63"/>
  <c r="J53" i="63" s="1"/>
  <c r="F83" i="63"/>
  <c r="F52" i="63" s="1"/>
  <c r="B82" i="63"/>
  <c r="B53" i="63" s="1"/>
  <c r="E82" i="63"/>
  <c r="E38" i="63" s="1"/>
  <c r="L82" i="63"/>
  <c r="L51" i="63" s="1"/>
  <c r="H25" i="63"/>
  <c r="C83" i="63"/>
  <c r="C52" i="63" s="1"/>
  <c r="O73" i="63"/>
  <c r="E73" i="63"/>
  <c r="O84" i="63"/>
  <c r="J83" i="63"/>
  <c r="J52" i="63" s="1"/>
  <c r="K82" i="63"/>
  <c r="K36" i="63" s="1"/>
  <c r="E26" i="63"/>
  <c r="N82" i="63"/>
  <c r="N53" i="63" s="1"/>
  <c r="M83" i="63"/>
  <c r="M52" i="63" s="1"/>
  <c r="L83" i="63"/>
  <c r="L37" i="63" s="1"/>
  <c r="K83" i="63"/>
  <c r="K52" i="63" s="1"/>
  <c r="B83" i="63"/>
  <c r="B37" i="63" s="1"/>
  <c r="E83" i="63"/>
  <c r="E52" i="63" s="1"/>
  <c r="N25" i="63"/>
  <c r="F82" i="63"/>
  <c r="F38" i="63" s="1"/>
  <c r="D83" i="63"/>
  <c r="D52" i="63" s="1"/>
  <c r="O82" i="63"/>
  <c r="O53" i="63" s="1"/>
  <c r="F25" i="63"/>
  <c r="G73" i="63"/>
  <c r="M123" i="63"/>
  <c r="M122" i="63"/>
  <c r="D123" i="63"/>
  <c r="D122" i="63"/>
  <c r="H73" i="63"/>
  <c r="J122" i="63"/>
  <c r="J123" i="63"/>
  <c r="F122" i="63"/>
  <c r="F123" i="63"/>
  <c r="B25" i="63"/>
  <c r="B26" i="63"/>
  <c r="K26" i="63"/>
  <c r="K122" i="63"/>
  <c r="K123" i="63"/>
  <c r="M26" i="63"/>
  <c r="I123" i="63"/>
  <c r="I122" i="63"/>
  <c r="N73" i="63"/>
  <c r="F73" i="63"/>
  <c r="G84" i="63"/>
  <c r="L25" i="63"/>
  <c r="H26" i="63"/>
  <c r="O25" i="63"/>
  <c r="C122" i="63"/>
  <c r="C123" i="63"/>
  <c r="J26" i="63"/>
  <c r="J25" i="63"/>
  <c r="K25" i="63"/>
  <c r="I25" i="63"/>
  <c r="E123" i="63"/>
  <c r="E122" i="63"/>
  <c r="G25" i="63"/>
  <c r="L123" i="63"/>
  <c r="L122" i="63"/>
  <c r="D25" i="63"/>
  <c r="O26" i="63"/>
  <c r="C26" i="63"/>
  <c r="O90" i="50"/>
  <c r="G90" i="50"/>
  <c r="P111" i="63"/>
  <c r="N26" i="63"/>
  <c r="N122" i="63"/>
  <c r="N123" i="63"/>
  <c r="N67" i="63" s="1"/>
  <c r="F26" i="63"/>
  <c r="B123" i="63"/>
  <c r="B122" i="63"/>
  <c r="M25" i="63"/>
  <c r="I26" i="63"/>
  <c r="E25" i="63"/>
  <c r="J73" i="63"/>
  <c r="B73" i="63"/>
  <c r="G26" i="63"/>
  <c r="L26" i="63"/>
  <c r="H123" i="63"/>
  <c r="H122" i="63"/>
  <c r="D26" i="63"/>
  <c r="I73" i="63"/>
  <c r="C25" i="63"/>
  <c r="P21" i="63"/>
  <c r="P20" i="63"/>
  <c r="F94" i="50"/>
  <c r="I94" i="50"/>
  <c r="B94" i="50"/>
  <c r="L94" i="50"/>
  <c r="H94" i="50"/>
  <c r="D94" i="50"/>
  <c r="N94" i="50"/>
  <c r="J94" i="50"/>
  <c r="M94" i="50"/>
  <c r="E94" i="50"/>
  <c r="O94" i="50"/>
  <c r="K94" i="50"/>
  <c r="G94" i="50"/>
  <c r="C94" i="50"/>
  <c r="J95" i="63"/>
  <c r="H95" i="63"/>
  <c r="C95" i="63"/>
  <c r="C37" i="63"/>
  <c r="P114" i="50"/>
  <c r="K38" i="63"/>
  <c r="C55" i="63"/>
  <c r="C41" i="63" s="1"/>
  <c r="E55" i="63"/>
  <c r="E41" i="63" s="1"/>
  <c r="C53" i="63"/>
  <c r="H55" i="63"/>
  <c r="H41" i="63" s="1"/>
  <c r="F55" i="63"/>
  <c r="F41" i="63" s="1"/>
  <c r="P128" i="50"/>
  <c r="B41" i="63"/>
  <c r="B62" i="66"/>
  <c r="P78" i="63"/>
  <c r="P77" i="63"/>
  <c r="O30" i="62"/>
  <c r="I42" i="62"/>
  <c r="H42" i="62"/>
  <c r="O18" i="62"/>
  <c r="N18" i="62"/>
  <c r="M18" i="62"/>
  <c r="L18" i="62"/>
  <c r="K18" i="62"/>
  <c r="J18" i="62"/>
  <c r="I18" i="62"/>
  <c r="H18" i="62"/>
  <c r="G18" i="62"/>
  <c r="F18" i="62"/>
  <c r="E18" i="62"/>
  <c r="D18" i="62"/>
  <c r="C18" i="62"/>
  <c r="B18" i="62"/>
  <c r="I17" i="62"/>
  <c r="F17" i="62"/>
  <c r="E17" i="62"/>
  <c r="C17" i="62"/>
  <c r="B17" i="62"/>
  <c r="M16" i="62"/>
  <c r="I16" i="62"/>
  <c r="E16" i="62"/>
  <c r="O15" i="62"/>
  <c r="N15" i="62"/>
  <c r="M15" i="62"/>
  <c r="L15" i="62"/>
  <c r="K15" i="62"/>
  <c r="J15" i="62"/>
  <c r="I15" i="62"/>
  <c r="H15" i="62"/>
  <c r="G15" i="62"/>
  <c r="F15" i="62"/>
  <c r="E15" i="62"/>
  <c r="D15" i="62"/>
  <c r="C15" i="62"/>
  <c r="B15" i="62"/>
  <c r="O13" i="62"/>
  <c r="O147" i="62" s="1"/>
  <c r="N13" i="62"/>
  <c r="M13" i="62"/>
  <c r="L13" i="62"/>
  <c r="K13" i="62"/>
  <c r="J13" i="62"/>
  <c r="I13" i="62"/>
  <c r="H13" i="62"/>
  <c r="G13" i="62"/>
  <c r="G147" i="62" s="1"/>
  <c r="F13" i="62"/>
  <c r="E13" i="62"/>
  <c r="D13" i="62"/>
  <c r="C13" i="62"/>
  <c r="B13" i="62"/>
  <c r="O12" i="62"/>
  <c r="N12" i="62"/>
  <c r="M12" i="62"/>
  <c r="L12" i="62"/>
  <c r="K12" i="62"/>
  <c r="J12" i="62"/>
  <c r="I12" i="62"/>
  <c r="H12" i="62"/>
  <c r="G12" i="62"/>
  <c r="F12" i="62"/>
  <c r="E12" i="62"/>
  <c r="D12" i="62"/>
  <c r="C12" i="62"/>
  <c r="B12" i="62"/>
  <c r="O11" i="62"/>
  <c r="O24" i="62" s="1"/>
  <c r="N11" i="62"/>
  <c r="M11" i="62"/>
  <c r="L11" i="62"/>
  <c r="K11" i="62"/>
  <c r="J11" i="62"/>
  <c r="I11" i="62"/>
  <c r="H11" i="62"/>
  <c r="G11" i="62"/>
  <c r="G24" i="62" s="1"/>
  <c r="F11" i="62"/>
  <c r="E11" i="62"/>
  <c r="D11" i="62"/>
  <c r="C11" i="62"/>
  <c r="B11" i="62"/>
  <c r="O16" i="62"/>
  <c r="N14" i="62"/>
  <c r="M14" i="62"/>
  <c r="L16" i="62"/>
  <c r="K16" i="62"/>
  <c r="J14" i="62"/>
  <c r="I14" i="62"/>
  <c r="H16" i="62"/>
  <c r="H56" i="62" s="1"/>
  <c r="G16" i="62"/>
  <c r="F14" i="62"/>
  <c r="E14" i="62"/>
  <c r="D16" i="62"/>
  <c r="C16" i="62"/>
  <c r="B14" i="62"/>
  <c r="O8" i="62"/>
  <c r="N8" i="62"/>
  <c r="M8" i="62"/>
  <c r="L8" i="62"/>
  <c r="K8" i="62"/>
  <c r="J8" i="62"/>
  <c r="I8" i="62"/>
  <c r="H8" i="62"/>
  <c r="G8" i="62"/>
  <c r="F8" i="62"/>
  <c r="E8" i="62"/>
  <c r="D8" i="62"/>
  <c r="C8" i="62"/>
  <c r="B8" i="62"/>
  <c r="L36" i="63" l="1"/>
  <c r="N51" i="63"/>
  <c r="M37" i="63"/>
  <c r="D38" i="63"/>
  <c r="B38" i="63"/>
  <c r="M38" i="63"/>
  <c r="O36" i="63"/>
  <c r="J37" i="63"/>
  <c r="D36" i="63"/>
  <c r="D54" i="63" s="1"/>
  <c r="M51" i="63"/>
  <c r="M54" i="63" s="1"/>
  <c r="G37" i="63"/>
  <c r="D53" i="63"/>
  <c r="B51" i="63"/>
  <c r="M53" i="63"/>
  <c r="J38" i="63"/>
  <c r="O37" i="63"/>
  <c r="G81" i="63"/>
  <c r="O81" i="63"/>
  <c r="O87" i="63" s="1"/>
  <c r="C51" i="63"/>
  <c r="E36" i="63"/>
  <c r="E37" i="63"/>
  <c r="L52" i="63"/>
  <c r="C36" i="63"/>
  <c r="C54" i="63" s="1"/>
  <c r="E53" i="63"/>
  <c r="B36" i="63"/>
  <c r="K51" i="63"/>
  <c r="K54" i="63" s="1"/>
  <c r="F37" i="63"/>
  <c r="B52" i="63"/>
  <c r="L54" i="63"/>
  <c r="L38" i="63"/>
  <c r="L86" i="63" s="1"/>
  <c r="N37" i="63"/>
  <c r="J36" i="63"/>
  <c r="L53" i="63"/>
  <c r="J51" i="63"/>
  <c r="K53" i="63"/>
  <c r="E51" i="63"/>
  <c r="B54" i="63"/>
  <c r="P73" i="63"/>
  <c r="D71" i="63"/>
  <c r="D70" i="63"/>
  <c r="O51" i="63"/>
  <c r="H66" i="63"/>
  <c r="H67" i="64" s="1"/>
  <c r="H80" i="66" s="1"/>
  <c r="H76" i="67" s="1"/>
  <c r="H73" i="68" s="1"/>
  <c r="B70" i="63"/>
  <c r="B71" i="63"/>
  <c r="N70" i="63"/>
  <c r="N71" i="63"/>
  <c r="L71" i="63"/>
  <c r="L70" i="63"/>
  <c r="E71" i="63"/>
  <c r="E70" i="63"/>
  <c r="C70" i="63"/>
  <c r="C71" i="63"/>
  <c r="C64" i="63" s="1"/>
  <c r="F71" i="63"/>
  <c r="F70" i="63"/>
  <c r="O38" i="63"/>
  <c r="K37" i="63"/>
  <c r="K86" i="63" s="1"/>
  <c r="B66" i="63"/>
  <c r="B67" i="64" s="1"/>
  <c r="J70" i="63"/>
  <c r="J71" i="63"/>
  <c r="M70" i="63"/>
  <c r="M71" i="63"/>
  <c r="H71" i="63"/>
  <c r="H64" i="63" s="1"/>
  <c r="H70" i="63"/>
  <c r="C67" i="63"/>
  <c r="I70" i="63"/>
  <c r="I71" i="63"/>
  <c r="K70" i="63"/>
  <c r="K71" i="63"/>
  <c r="H72" i="63"/>
  <c r="N24" i="63"/>
  <c r="N81" i="63" s="1"/>
  <c r="N84" i="63"/>
  <c r="E72" i="63"/>
  <c r="F36" i="63"/>
  <c r="N38" i="63"/>
  <c r="D37" i="63"/>
  <c r="C72" i="63"/>
  <c r="I84" i="63"/>
  <c r="I24" i="63"/>
  <c r="I32" i="63" s="1"/>
  <c r="I124" i="63"/>
  <c r="I82" i="63" s="1"/>
  <c r="I53" i="63" s="1"/>
  <c r="I125" i="63"/>
  <c r="I83" i="63" s="1"/>
  <c r="F72" i="63"/>
  <c r="D84" i="63"/>
  <c r="D24" i="63"/>
  <c r="D81" i="63" s="1"/>
  <c r="J24" i="63"/>
  <c r="J81" i="63" s="1"/>
  <c r="J84" i="63"/>
  <c r="M72" i="63"/>
  <c r="F51" i="63"/>
  <c r="H125" i="63"/>
  <c r="H83" i="63" s="1"/>
  <c r="H37" i="63" s="1"/>
  <c r="H84" i="63"/>
  <c r="H124" i="63"/>
  <c r="H82" i="63" s="1"/>
  <c r="H24" i="63"/>
  <c r="B72" i="63"/>
  <c r="N72" i="63"/>
  <c r="L72" i="63"/>
  <c r="E24" i="63"/>
  <c r="E84" i="63"/>
  <c r="K84" i="63"/>
  <c r="K24" i="63"/>
  <c r="K81" i="63" s="1"/>
  <c r="J72" i="63"/>
  <c r="M24" i="63"/>
  <c r="M81" i="63" s="1"/>
  <c r="M84" i="63"/>
  <c r="F53" i="63"/>
  <c r="N36" i="63"/>
  <c r="P122" i="63"/>
  <c r="P123" i="63"/>
  <c r="B84" i="63"/>
  <c r="B24" i="63"/>
  <c r="B81" i="63" s="1"/>
  <c r="L84" i="63"/>
  <c r="L24" i="63"/>
  <c r="L81" i="63" s="1"/>
  <c r="C24" i="63"/>
  <c r="C81" i="63" s="1"/>
  <c r="C84" i="63"/>
  <c r="I72" i="63"/>
  <c r="K72" i="63"/>
  <c r="F84" i="63"/>
  <c r="F24" i="63"/>
  <c r="D72" i="63"/>
  <c r="E91" i="62"/>
  <c r="E92" i="62"/>
  <c r="I91" i="62"/>
  <c r="I92" i="62"/>
  <c r="B91" i="62"/>
  <c r="B34" i="62" s="1"/>
  <c r="B92" i="62"/>
  <c r="F91" i="62"/>
  <c r="F92" i="62"/>
  <c r="J91" i="62"/>
  <c r="J92" i="62"/>
  <c r="N91" i="62"/>
  <c r="N92" i="62"/>
  <c r="M91" i="62"/>
  <c r="M92" i="62"/>
  <c r="P95" i="63"/>
  <c r="G87" i="62"/>
  <c r="B130" i="62"/>
  <c r="B133" i="62"/>
  <c r="B149" i="62"/>
  <c r="B150" i="62"/>
  <c r="B132" i="62"/>
  <c r="F130" i="62"/>
  <c r="F149" i="62"/>
  <c r="F132" i="62"/>
  <c r="F150" i="62"/>
  <c r="F133" i="62"/>
  <c r="J132" i="62"/>
  <c r="J150" i="62"/>
  <c r="J149" i="62"/>
  <c r="J133" i="62"/>
  <c r="J130" i="62"/>
  <c r="N132" i="62"/>
  <c r="N133" i="62"/>
  <c r="N130" i="62"/>
  <c r="N149" i="62"/>
  <c r="N150" i="62"/>
  <c r="I132" i="62"/>
  <c r="I130" i="62"/>
  <c r="I133" i="62"/>
  <c r="M149" i="62"/>
  <c r="M132" i="62"/>
  <c r="M150" i="62"/>
  <c r="M133" i="62"/>
  <c r="M130" i="62"/>
  <c r="G85" i="62"/>
  <c r="G77" i="62" s="1"/>
  <c r="G83" i="62"/>
  <c r="O85" i="62"/>
  <c r="O77" i="62" s="1"/>
  <c r="O83" i="62"/>
  <c r="C150" i="62"/>
  <c r="C133" i="62"/>
  <c r="C130" i="62"/>
  <c r="C149" i="62"/>
  <c r="C132" i="62"/>
  <c r="G133" i="62"/>
  <c r="G132" i="62"/>
  <c r="G104" i="62" s="1"/>
  <c r="K150" i="62"/>
  <c r="K133" i="62"/>
  <c r="K130" i="62"/>
  <c r="K149" i="62"/>
  <c r="K132" i="62"/>
  <c r="O150" i="62"/>
  <c r="O133" i="62"/>
  <c r="O149" i="62"/>
  <c r="O132" i="62"/>
  <c r="O87" i="62"/>
  <c r="E149" i="62"/>
  <c r="E132" i="62"/>
  <c r="E150" i="62"/>
  <c r="E133" i="62"/>
  <c r="E130" i="62"/>
  <c r="D133" i="62"/>
  <c r="D149" i="62"/>
  <c r="D150" i="62"/>
  <c r="D130" i="62"/>
  <c r="D132" i="62"/>
  <c r="H133" i="62"/>
  <c r="H130" i="62"/>
  <c r="H132" i="62"/>
  <c r="L149" i="62"/>
  <c r="L150" i="62"/>
  <c r="L133" i="62"/>
  <c r="L130" i="62"/>
  <c r="L132" i="62"/>
  <c r="G127" i="62"/>
  <c r="O127" i="62"/>
  <c r="D93" i="62"/>
  <c r="D94" i="62"/>
  <c r="H93" i="62"/>
  <c r="H94" i="62"/>
  <c r="L93" i="62"/>
  <c r="L94" i="62"/>
  <c r="E93" i="62"/>
  <c r="E94" i="62"/>
  <c r="I93" i="62"/>
  <c r="I94" i="62"/>
  <c r="M93" i="62"/>
  <c r="M94" i="62"/>
  <c r="B93" i="62"/>
  <c r="B94" i="62"/>
  <c r="F93" i="62"/>
  <c r="F94" i="62"/>
  <c r="J93" i="62"/>
  <c r="J94" i="62"/>
  <c r="N93" i="62"/>
  <c r="N94" i="62"/>
  <c r="C93" i="62"/>
  <c r="C94" i="62"/>
  <c r="G93" i="62"/>
  <c r="G94" i="62"/>
  <c r="K93" i="62"/>
  <c r="K94" i="62"/>
  <c r="O93" i="62"/>
  <c r="O94" i="62"/>
  <c r="E21" i="62"/>
  <c r="E20" i="62"/>
  <c r="I21" i="62"/>
  <c r="I20" i="62"/>
  <c r="M21" i="62"/>
  <c r="M20" i="62"/>
  <c r="B21" i="62"/>
  <c r="B20" i="62"/>
  <c r="F20" i="62"/>
  <c r="F21" i="62"/>
  <c r="J20" i="62"/>
  <c r="J21" i="62"/>
  <c r="N20" i="62"/>
  <c r="N21" i="62"/>
  <c r="C21" i="62"/>
  <c r="C20" i="62"/>
  <c r="G21" i="62"/>
  <c r="G20" i="62"/>
  <c r="K21" i="62"/>
  <c r="K20" i="62"/>
  <c r="O21" i="62"/>
  <c r="O20" i="62"/>
  <c r="D20" i="62"/>
  <c r="D21" i="62"/>
  <c r="H20" i="62"/>
  <c r="H21" i="62"/>
  <c r="L20" i="62"/>
  <c r="L21" i="62"/>
  <c r="P55" i="63"/>
  <c r="D67" i="62"/>
  <c r="D53" i="62" s="1"/>
  <c r="E43" i="62"/>
  <c r="E54" i="62" s="1"/>
  <c r="H43" i="62"/>
  <c r="H54" i="62" s="1"/>
  <c r="C43" i="62"/>
  <c r="C54" i="62" s="1"/>
  <c r="G67" i="62"/>
  <c r="G53" i="62" s="1"/>
  <c r="P41" i="63"/>
  <c r="G38" i="63"/>
  <c r="G51" i="63"/>
  <c r="G36" i="63"/>
  <c r="G53" i="63"/>
  <c r="G54" i="62"/>
  <c r="B56" i="62"/>
  <c r="J56" i="62"/>
  <c r="C56" i="62"/>
  <c r="K56" i="62"/>
  <c r="O56" i="62"/>
  <c r="F56" i="62"/>
  <c r="N56" i="62"/>
  <c r="D56" i="62"/>
  <c r="L56" i="62"/>
  <c r="E56" i="62"/>
  <c r="M56" i="62"/>
  <c r="G56" i="62"/>
  <c r="I56" i="62"/>
  <c r="H95" i="62"/>
  <c r="H67" i="62" s="1"/>
  <c r="H96" i="62"/>
  <c r="H55" i="62" s="1"/>
  <c r="I43" i="62"/>
  <c r="I54" i="62" s="1"/>
  <c r="M43" i="62"/>
  <c r="M54" i="62" s="1"/>
  <c r="E55" i="62"/>
  <c r="E95" i="62"/>
  <c r="E67" i="62" s="1"/>
  <c r="K43" i="62"/>
  <c r="K54" i="62" s="1"/>
  <c r="O43" i="62"/>
  <c r="O54" i="62" s="1"/>
  <c r="L43" i="62"/>
  <c r="L54" i="62" s="1"/>
  <c r="P44" i="63"/>
  <c r="P30" i="62"/>
  <c r="P25" i="63"/>
  <c r="P26" i="63"/>
  <c r="C55" i="62"/>
  <c r="C95" i="62"/>
  <c r="C67" i="62" s="1"/>
  <c r="G14" i="62"/>
  <c r="K14" i="62"/>
  <c r="D14" i="62"/>
  <c r="H14" i="62"/>
  <c r="L14" i="62"/>
  <c r="B16" i="62"/>
  <c r="B43" i="62" s="1"/>
  <c r="F16" i="62"/>
  <c r="F54" i="62" s="1"/>
  <c r="J16" i="62"/>
  <c r="J43" i="62" s="1"/>
  <c r="J54" i="62" s="1"/>
  <c r="N16" i="62"/>
  <c r="N43" i="62" s="1"/>
  <c r="N54" i="62" s="1"/>
  <c r="C14" i="62"/>
  <c r="O14" i="62"/>
  <c r="P42" i="62"/>
  <c r="M28" i="62" l="1"/>
  <c r="D86" i="63"/>
  <c r="M86" i="63"/>
  <c r="D87" i="63"/>
  <c r="J86" i="63"/>
  <c r="J87" i="63" s="1"/>
  <c r="F26" i="62"/>
  <c r="O86" i="63"/>
  <c r="O54" i="63"/>
  <c r="N26" i="62"/>
  <c r="O100" i="62"/>
  <c r="J89" i="62"/>
  <c r="E86" i="63"/>
  <c r="C86" i="63"/>
  <c r="C87" i="63" s="1"/>
  <c r="C88" i="63" s="1"/>
  <c r="F81" i="63"/>
  <c r="F87" i="63" s="1"/>
  <c r="E81" i="63"/>
  <c r="E87" i="63" s="1"/>
  <c r="E88" i="63" s="1"/>
  <c r="H87" i="63"/>
  <c r="H81" i="63"/>
  <c r="P125" i="63"/>
  <c r="H52" i="63"/>
  <c r="I28" i="62"/>
  <c r="I81" i="63"/>
  <c r="I87" i="63" s="1"/>
  <c r="C89" i="62"/>
  <c r="E54" i="63"/>
  <c r="J54" i="63"/>
  <c r="K87" i="63"/>
  <c r="C32" i="63"/>
  <c r="I80" i="63"/>
  <c r="C80" i="63"/>
  <c r="N86" i="63"/>
  <c r="N87" i="63" s="1"/>
  <c r="N54" i="63"/>
  <c r="F32" i="63"/>
  <c r="F80" i="63"/>
  <c r="G54" i="63"/>
  <c r="P84" i="63"/>
  <c r="I64" i="63"/>
  <c r="I65" i="63"/>
  <c r="H65" i="63"/>
  <c r="J65" i="63"/>
  <c r="J64" i="63"/>
  <c r="C65" i="63"/>
  <c r="B64" i="63"/>
  <c r="B65" i="63"/>
  <c r="P66" i="63"/>
  <c r="M87" i="63"/>
  <c r="F86" i="63"/>
  <c r="F54" i="63"/>
  <c r="F65" i="63"/>
  <c r="F64" i="63"/>
  <c r="E64" i="63"/>
  <c r="E65" i="63"/>
  <c r="L64" i="63"/>
  <c r="L65" i="63"/>
  <c r="L87" i="63"/>
  <c r="K64" i="63"/>
  <c r="K65" i="63"/>
  <c r="M64" i="63"/>
  <c r="M65" i="63"/>
  <c r="N65" i="63"/>
  <c r="N64" i="63"/>
  <c r="D64" i="63"/>
  <c r="D65" i="63"/>
  <c r="B80" i="63"/>
  <c r="B32" i="63"/>
  <c r="P24" i="63"/>
  <c r="I37" i="63"/>
  <c r="I52" i="63"/>
  <c r="E80" i="63"/>
  <c r="M100" i="62"/>
  <c r="M51" i="62" s="1"/>
  <c r="F28" i="62"/>
  <c r="P71" i="63"/>
  <c r="P72" i="63"/>
  <c r="E32" i="63"/>
  <c r="F102" i="62"/>
  <c r="P124" i="63"/>
  <c r="J102" i="62"/>
  <c r="J50" i="62" s="1"/>
  <c r="F89" i="62"/>
  <c r="E26" i="62"/>
  <c r="I89" i="62"/>
  <c r="I26" i="62"/>
  <c r="N28" i="62"/>
  <c r="O89" i="62"/>
  <c r="M89" i="62"/>
  <c r="M26" i="62"/>
  <c r="B89" i="62"/>
  <c r="B26" i="62"/>
  <c r="J32" i="62"/>
  <c r="J34" i="62"/>
  <c r="E32" i="62"/>
  <c r="E34" i="62"/>
  <c r="L102" i="62"/>
  <c r="L50" i="62" s="1"/>
  <c r="L92" i="62"/>
  <c r="L91" i="62"/>
  <c r="L26" i="62" s="1"/>
  <c r="G91" i="62"/>
  <c r="G28" i="62" s="1"/>
  <c r="G92" i="62"/>
  <c r="H89" i="62"/>
  <c r="N89" i="62"/>
  <c r="E28" i="62"/>
  <c r="J26" i="62"/>
  <c r="M34" i="62"/>
  <c r="M32" i="62"/>
  <c r="O104" i="62"/>
  <c r="O102" i="62"/>
  <c r="O50" i="62" s="1"/>
  <c r="O91" i="62"/>
  <c r="O26" i="62" s="1"/>
  <c r="O92" i="62"/>
  <c r="D92" i="62"/>
  <c r="D91" i="62"/>
  <c r="C91" i="62"/>
  <c r="C28" i="62" s="1"/>
  <c r="C92" i="62"/>
  <c r="K91" i="62"/>
  <c r="K92" i="62"/>
  <c r="L89" i="62"/>
  <c r="D89" i="62"/>
  <c r="G149" i="62"/>
  <c r="G100" i="62" s="1"/>
  <c r="G26" i="62"/>
  <c r="H92" i="62"/>
  <c r="H91" i="62"/>
  <c r="K28" i="62"/>
  <c r="J28" i="62"/>
  <c r="B28" i="62"/>
  <c r="N32" i="62"/>
  <c r="N34" i="62"/>
  <c r="F32" i="62"/>
  <c r="F34" i="62"/>
  <c r="I32" i="62"/>
  <c r="I34" i="62"/>
  <c r="G86" i="63"/>
  <c r="G87" i="63" s="1"/>
  <c r="E100" i="62"/>
  <c r="E63" i="62" s="1"/>
  <c r="H145" i="62"/>
  <c r="H147" i="62"/>
  <c r="E145" i="62"/>
  <c r="E147" i="62"/>
  <c r="G150" i="62"/>
  <c r="E89" i="62"/>
  <c r="I145" i="62"/>
  <c r="I147" i="62"/>
  <c r="G89" i="62"/>
  <c r="C147" i="62"/>
  <c r="C145" i="62"/>
  <c r="B145" i="62"/>
  <c r="B147" i="62"/>
  <c r="P133" i="62"/>
  <c r="C102" i="62"/>
  <c r="C64" i="62" s="1"/>
  <c r="K102" i="62"/>
  <c r="K64" i="62" s="1"/>
  <c r="L145" i="62"/>
  <c r="L147" i="62"/>
  <c r="M147" i="62"/>
  <c r="M145" i="62"/>
  <c r="J147" i="62"/>
  <c r="J145" i="62"/>
  <c r="D145" i="62"/>
  <c r="D147" i="62"/>
  <c r="K89" i="62"/>
  <c r="P132" i="62"/>
  <c r="N102" i="62"/>
  <c r="N50" i="62" s="1"/>
  <c r="P130" i="62"/>
  <c r="K100" i="62"/>
  <c r="C100" i="62"/>
  <c r="B100" i="62"/>
  <c r="B51" i="62" s="1"/>
  <c r="L100" i="62"/>
  <c r="D100" i="62"/>
  <c r="K147" i="62"/>
  <c r="K145" i="62"/>
  <c r="N147" i="62"/>
  <c r="N145" i="62"/>
  <c r="F147" i="62"/>
  <c r="F145" i="62"/>
  <c r="B102" i="62"/>
  <c r="B64" i="62" s="1"/>
  <c r="D102" i="62"/>
  <c r="D64" i="62" s="1"/>
  <c r="E102" i="62"/>
  <c r="E50" i="62" s="1"/>
  <c r="J100" i="62"/>
  <c r="J65" i="62" s="1"/>
  <c r="N100" i="62"/>
  <c r="N51" i="62" s="1"/>
  <c r="G102" i="62"/>
  <c r="M102" i="62"/>
  <c r="M64" i="62" s="1"/>
  <c r="F100" i="62"/>
  <c r="F51" i="62" s="1"/>
  <c r="B32" i="62"/>
  <c r="P20" i="62"/>
  <c r="P21" i="62"/>
  <c r="I38" i="63"/>
  <c r="P82" i="63"/>
  <c r="I51" i="63"/>
  <c r="I36" i="63"/>
  <c r="P83" i="63"/>
  <c r="P70" i="63"/>
  <c r="F64" i="62"/>
  <c r="F50" i="62"/>
  <c r="H53" i="62"/>
  <c r="B54" i="62"/>
  <c r="B49" i="62"/>
  <c r="C53" i="62"/>
  <c r="E53" i="62"/>
  <c r="F95" i="62"/>
  <c r="F67" i="62" s="1"/>
  <c r="F55" i="62"/>
  <c r="O76" i="62"/>
  <c r="E39" i="62"/>
  <c r="E38" i="62"/>
  <c r="E33" i="62"/>
  <c r="E31" i="62"/>
  <c r="J39" i="62"/>
  <c r="J33" i="62"/>
  <c r="J31" i="62"/>
  <c r="J38" i="62"/>
  <c r="I39" i="62"/>
  <c r="I38" i="62"/>
  <c r="I33" i="62"/>
  <c r="I31" i="62"/>
  <c r="F39" i="62"/>
  <c r="F38" i="62"/>
  <c r="F33" i="62"/>
  <c r="F31" i="62"/>
  <c r="B95" i="62"/>
  <c r="B67" i="62" s="1"/>
  <c r="B55" i="62"/>
  <c r="B33" i="62"/>
  <c r="B31" i="62"/>
  <c r="B39" i="62"/>
  <c r="B38" i="62"/>
  <c r="N39" i="62"/>
  <c r="N38" i="62"/>
  <c r="N33" i="62"/>
  <c r="N31" i="62"/>
  <c r="M39" i="62"/>
  <c r="M38" i="62"/>
  <c r="M33" i="62"/>
  <c r="M31" i="62"/>
  <c r="E51" i="62" l="1"/>
  <c r="F88" i="63"/>
  <c r="F89" i="63" s="1"/>
  <c r="N64" i="62"/>
  <c r="M49" i="62"/>
  <c r="N65" i="62"/>
  <c r="M65" i="62"/>
  <c r="B65" i="62"/>
  <c r="I54" i="63"/>
  <c r="E89" i="63"/>
  <c r="C89" i="63"/>
  <c r="P65" i="63"/>
  <c r="J64" i="62"/>
  <c r="M63" i="62"/>
  <c r="B63" i="62"/>
  <c r="B66" i="62" s="1"/>
  <c r="P64" i="63"/>
  <c r="L28" i="62"/>
  <c r="C26" i="62"/>
  <c r="N80" i="62"/>
  <c r="N104" i="62"/>
  <c r="N24" i="62"/>
  <c r="N98" i="62" s="1"/>
  <c r="E24" i="62"/>
  <c r="E98" i="62" s="1"/>
  <c r="E104" i="62"/>
  <c r="E65" i="62"/>
  <c r="M104" i="62"/>
  <c r="M24" i="62"/>
  <c r="M98" i="62" s="1"/>
  <c r="P145" i="62"/>
  <c r="G34" i="62"/>
  <c r="G32" i="62"/>
  <c r="D104" i="62"/>
  <c r="D24" i="62"/>
  <c r="K34" i="62"/>
  <c r="K32" i="62"/>
  <c r="D35" i="62"/>
  <c r="D34" i="62"/>
  <c r="D32" i="62"/>
  <c r="E49" i="62"/>
  <c r="E66" i="62" s="1"/>
  <c r="F24" i="62"/>
  <c r="F99" i="62" s="1"/>
  <c r="F109" i="62" s="1"/>
  <c r="F104" i="62"/>
  <c r="K104" i="62"/>
  <c r="K24" i="62"/>
  <c r="L24" i="62"/>
  <c r="L104" i="62"/>
  <c r="C80" i="62"/>
  <c r="C24" i="62"/>
  <c r="C104" i="62"/>
  <c r="H24" i="62"/>
  <c r="H104" i="62"/>
  <c r="H35" i="62"/>
  <c r="H32" i="62"/>
  <c r="H34" i="62"/>
  <c r="D28" i="62"/>
  <c r="C34" i="62"/>
  <c r="C32" i="62"/>
  <c r="H26" i="62"/>
  <c r="L34" i="62"/>
  <c r="L32" i="62"/>
  <c r="I24" i="62"/>
  <c r="I99" i="62" s="1"/>
  <c r="I109" i="62" s="1"/>
  <c r="I104" i="62"/>
  <c r="P89" i="62"/>
  <c r="J24" i="62"/>
  <c r="J104" i="62"/>
  <c r="B104" i="62"/>
  <c r="B24" i="62"/>
  <c r="B99" i="62" s="1"/>
  <c r="D26" i="62"/>
  <c r="K26" i="62"/>
  <c r="O32" i="62"/>
  <c r="O34" i="62"/>
  <c r="O28" i="62"/>
  <c r="H28" i="62"/>
  <c r="E87" i="62"/>
  <c r="E85" i="62"/>
  <c r="E77" i="62" s="1"/>
  <c r="E83" i="62"/>
  <c r="F87" i="62"/>
  <c r="F85" i="62"/>
  <c r="F77" i="62" s="1"/>
  <c r="F83" i="62"/>
  <c r="K87" i="62"/>
  <c r="K83" i="62"/>
  <c r="K85" i="62"/>
  <c r="K77" i="62" s="1"/>
  <c r="M87" i="62"/>
  <c r="M83" i="62"/>
  <c r="M85" i="62"/>
  <c r="M77" i="62" s="1"/>
  <c r="H150" i="62"/>
  <c r="H102" i="62" s="1"/>
  <c r="H149" i="62"/>
  <c r="H100" i="62" s="1"/>
  <c r="L87" i="62"/>
  <c r="L83" i="62"/>
  <c r="L85" i="62"/>
  <c r="L77" i="62" s="1"/>
  <c r="C87" i="62"/>
  <c r="C83" i="62"/>
  <c r="C85" i="62"/>
  <c r="C77" i="62" s="1"/>
  <c r="I87" i="62"/>
  <c r="I83" i="62"/>
  <c r="I85" i="62"/>
  <c r="I77" i="62" s="1"/>
  <c r="M50" i="62"/>
  <c r="D87" i="62"/>
  <c r="D83" i="62"/>
  <c r="D85" i="62"/>
  <c r="D77" i="62" s="1"/>
  <c r="P147" i="62"/>
  <c r="H87" i="62"/>
  <c r="H83" i="62"/>
  <c r="P76" i="62" s="1"/>
  <c r="H85" i="62"/>
  <c r="H77" i="62" s="1"/>
  <c r="J49" i="62"/>
  <c r="N87" i="62"/>
  <c r="N85" i="62"/>
  <c r="N77" i="62" s="1"/>
  <c r="N83" i="62"/>
  <c r="J87" i="62"/>
  <c r="J85" i="62"/>
  <c r="J77" i="62" s="1"/>
  <c r="J83" i="62"/>
  <c r="B87" i="62"/>
  <c r="B83" i="62"/>
  <c r="B85" i="62"/>
  <c r="I149" i="62"/>
  <c r="I100" i="62" s="1"/>
  <c r="I150" i="62"/>
  <c r="I102" i="62" s="1"/>
  <c r="I50" i="62" s="1"/>
  <c r="F65" i="62"/>
  <c r="B50" i="62"/>
  <c r="E64" i="62"/>
  <c r="F49" i="62"/>
  <c r="F63" i="62"/>
  <c r="N63" i="62"/>
  <c r="N49" i="62"/>
  <c r="J63" i="62"/>
  <c r="J51" i="62"/>
  <c r="P67" i="62"/>
  <c r="I86" i="63"/>
  <c r="I88" i="63" s="1"/>
  <c r="O64" i="62"/>
  <c r="H38" i="63"/>
  <c r="P38" i="63" s="1"/>
  <c r="P37" i="63"/>
  <c r="H36" i="63"/>
  <c r="H53" i="63"/>
  <c r="P53" i="63" s="1"/>
  <c r="H51" i="63"/>
  <c r="P51" i="63" s="1"/>
  <c r="P52" i="63"/>
  <c r="K50" i="62"/>
  <c r="D50" i="62"/>
  <c r="G64" i="62"/>
  <c r="G50" i="62"/>
  <c r="C50" i="62"/>
  <c r="L64" i="62"/>
  <c r="H64" i="62"/>
  <c r="H50" i="62"/>
  <c r="G65" i="62"/>
  <c r="G51" i="62"/>
  <c r="G63" i="62"/>
  <c r="G49" i="62"/>
  <c r="D63" i="62"/>
  <c r="D49" i="62"/>
  <c r="D65" i="62"/>
  <c r="D51" i="62"/>
  <c r="L63" i="62"/>
  <c r="L49" i="62"/>
  <c r="L65" i="62"/>
  <c r="L51" i="62"/>
  <c r="K65" i="62"/>
  <c r="K51" i="62"/>
  <c r="K63" i="62"/>
  <c r="K49" i="62"/>
  <c r="O65" i="62"/>
  <c r="O51" i="62"/>
  <c r="O63" i="62"/>
  <c r="O49" i="62"/>
  <c r="C65" i="62"/>
  <c r="C51" i="62"/>
  <c r="C63" i="62"/>
  <c r="C49" i="62"/>
  <c r="F53" i="62"/>
  <c r="P55" i="62"/>
  <c r="B86" i="63"/>
  <c r="E45" i="62"/>
  <c r="L39" i="62"/>
  <c r="L38" i="62"/>
  <c r="L33" i="62"/>
  <c r="L31" i="62"/>
  <c r="H39" i="62"/>
  <c r="H38" i="62"/>
  <c r="H33" i="62"/>
  <c r="H31" i="62"/>
  <c r="C33" i="62"/>
  <c r="C31" i="62"/>
  <c r="C39" i="62"/>
  <c r="C38" i="62"/>
  <c r="O33" i="62"/>
  <c r="O31" i="62"/>
  <c r="O39" i="62"/>
  <c r="O38" i="62"/>
  <c r="P96" i="62"/>
  <c r="P56" i="62"/>
  <c r="K33" i="62"/>
  <c r="K31" i="62"/>
  <c r="K38" i="62"/>
  <c r="K39" i="62"/>
  <c r="D39" i="62"/>
  <c r="D38" i="62"/>
  <c r="D33" i="62"/>
  <c r="D31" i="62"/>
  <c r="P95" i="62"/>
  <c r="G33" i="62"/>
  <c r="G31" i="62"/>
  <c r="G39" i="62"/>
  <c r="G38" i="62"/>
  <c r="M66" i="62" l="1"/>
  <c r="M99" i="62"/>
  <c r="C66" i="62"/>
  <c r="O66" i="62"/>
  <c r="K66" i="62"/>
  <c r="G66" i="62"/>
  <c r="P149" i="62"/>
  <c r="B98" i="62"/>
  <c r="J66" i="62"/>
  <c r="L66" i="62"/>
  <c r="D66" i="62"/>
  <c r="F98" i="62"/>
  <c r="M45" i="62"/>
  <c r="N66" i="62"/>
  <c r="E99" i="62"/>
  <c r="E109" i="62" s="1"/>
  <c r="I98" i="62"/>
  <c r="P36" i="63"/>
  <c r="H54" i="63"/>
  <c r="P54" i="63" s="1"/>
  <c r="I89" i="63"/>
  <c r="B87" i="63"/>
  <c r="B88" i="63" s="1"/>
  <c r="B89" i="63" s="1"/>
  <c r="N99" i="62"/>
  <c r="F66" i="62"/>
  <c r="H86" i="63"/>
  <c r="P32" i="62"/>
  <c r="N45" i="62"/>
  <c r="I64" i="62"/>
  <c r="B77" i="62"/>
  <c r="P77" i="62" s="1"/>
  <c r="P102" i="62"/>
  <c r="P150" i="62"/>
  <c r="P87" i="62"/>
  <c r="P35" i="62"/>
  <c r="P83" i="62"/>
  <c r="P104" i="62"/>
  <c r="P85" i="62"/>
  <c r="C99" i="62"/>
  <c r="L99" i="62"/>
  <c r="O99" i="62"/>
  <c r="O109" i="62" s="1"/>
  <c r="G99" i="62"/>
  <c r="H99" i="62"/>
  <c r="H109" i="62" s="1"/>
  <c r="K99" i="62"/>
  <c r="D99" i="62"/>
  <c r="P64" i="62"/>
  <c r="P86" i="63"/>
  <c r="H98" i="62"/>
  <c r="G98" i="62"/>
  <c r="D98" i="62"/>
  <c r="C98" i="62"/>
  <c r="L98" i="62"/>
  <c r="K98" i="62"/>
  <c r="O98" i="62"/>
  <c r="B53" i="62"/>
  <c r="H63" i="62"/>
  <c r="H49" i="62"/>
  <c r="H65" i="62"/>
  <c r="H51" i="62"/>
  <c r="I65" i="62"/>
  <c r="I51" i="62"/>
  <c r="I63" i="62"/>
  <c r="I49" i="62"/>
  <c r="I45" i="62"/>
  <c r="G108" i="62"/>
  <c r="P33" i="62"/>
  <c r="P31" i="62"/>
  <c r="P39" i="62"/>
  <c r="P34" i="62"/>
  <c r="P38" i="62"/>
  <c r="O45" i="62"/>
  <c r="P28" i="62"/>
  <c r="L45" i="62"/>
  <c r="K45" i="62"/>
  <c r="P26" i="62"/>
  <c r="C45" i="62"/>
  <c r="P24" i="62"/>
  <c r="F45" i="62"/>
  <c r="I66" i="62" l="1"/>
  <c r="H66" i="62"/>
  <c r="G109" i="62"/>
  <c r="P65" i="62"/>
  <c r="I108" i="62"/>
  <c r="I110" i="62" s="1"/>
  <c r="I111" i="62" s="1"/>
  <c r="I52" i="62" s="1"/>
  <c r="I58" i="62" s="1"/>
  <c r="I60" i="62" s="1"/>
  <c r="P66" i="62"/>
  <c r="F108" i="62"/>
  <c r="F110" i="62" s="1"/>
  <c r="F111" i="62" s="1"/>
  <c r="B108" i="62"/>
  <c r="B109" i="62" s="1"/>
  <c r="N108" i="62"/>
  <c r="E108" i="62"/>
  <c r="E110" i="62" s="1"/>
  <c r="E111" i="62" s="1"/>
  <c r="P53" i="62"/>
  <c r="M108" i="62"/>
  <c r="M109" i="62" l="1"/>
  <c r="M110" i="62" s="1"/>
  <c r="M111" i="62" s="1"/>
  <c r="N109" i="62"/>
  <c r="N110" i="62" s="1"/>
  <c r="N111" i="62" s="1"/>
  <c r="H108" i="62"/>
  <c r="F52" i="62"/>
  <c r="L108" i="62"/>
  <c r="K108" i="62"/>
  <c r="B110" i="62"/>
  <c r="B111" i="62" s="1"/>
  <c r="C108" i="62"/>
  <c r="O108" i="62"/>
  <c r="O110" i="62" s="1"/>
  <c r="O111" i="62" s="1"/>
  <c r="B45" i="62"/>
  <c r="D108" i="62"/>
  <c r="D109" i="62" s="1"/>
  <c r="O15" i="25"/>
  <c r="N15" i="25"/>
  <c r="M15" i="25"/>
  <c r="L15" i="25"/>
  <c r="K15" i="25"/>
  <c r="J15" i="25"/>
  <c r="I15" i="25"/>
  <c r="H15" i="25"/>
  <c r="G15" i="25"/>
  <c r="F15" i="25"/>
  <c r="E15" i="25"/>
  <c r="D15" i="25"/>
  <c r="C15" i="25"/>
  <c r="B15" i="25"/>
  <c r="L109" i="62" l="1"/>
  <c r="L110" i="62" s="1"/>
  <c r="L111" i="62" s="1"/>
  <c r="K109" i="62"/>
  <c r="K110" i="62" s="1"/>
  <c r="K111" i="62" s="1"/>
  <c r="C109" i="62"/>
  <c r="C110" i="62" s="1"/>
  <c r="C111" i="62" s="1"/>
  <c r="G81" i="25"/>
  <c r="O81" i="25"/>
  <c r="C85" i="25"/>
  <c r="C86" i="25"/>
  <c r="O85" i="25"/>
  <c r="D85" i="25"/>
  <c r="H85" i="25"/>
  <c r="L85" i="25"/>
  <c r="K85" i="25"/>
  <c r="E85" i="25"/>
  <c r="I85" i="25"/>
  <c r="M85" i="25"/>
  <c r="G85" i="25"/>
  <c r="B85" i="25"/>
  <c r="F85" i="25"/>
  <c r="J85" i="25"/>
  <c r="N85" i="25"/>
  <c r="F58" i="62"/>
  <c r="F60" i="62" s="1"/>
  <c r="N52" i="62"/>
  <c r="M52" i="62"/>
  <c r="E52" i="62"/>
  <c r="P27" i="25"/>
  <c r="E58" i="62" l="1"/>
  <c r="E60" i="62" s="1"/>
  <c r="M58" i="62"/>
  <c r="M60" i="62" s="1"/>
  <c r="N58" i="62"/>
  <c r="N60" i="62" s="1"/>
  <c r="L52" i="62"/>
  <c r="O52" i="62"/>
  <c r="K52" i="62"/>
  <c r="C52" i="62"/>
  <c r="L58" i="62" l="1"/>
  <c r="L60" i="62" s="1"/>
  <c r="C58" i="62"/>
  <c r="C60" i="62" s="1"/>
  <c r="K58" i="62"/>
  <c r="K60" i="62" s="1"/>
  <c r="O58" i="62"/>
  <c r="O60" i="62" s="1"/>
  <c r="B52" i="62" l="1"/>
  <c r="B58" i="62" l="1"/>
  <c r="B60" i="62" l="1"/>
  <c r="H61" i="50" l="1"/>
  <c r="G60" i="50"/>
  <c r="E60" i="50"/>
  <c r="G59" i="50"/>
  <c r="B59" i="50"/>
  <c r="I58" i="50"/>
  <c r="E58" i="50"/>
  <c r="P58" i="50" s="1"/>
  <c r="H57" i="50"/>
  <c r="D57" i="50"/>
  <c r="G56" i="50"/>
  <c r="C56" i="50"/>
  <c r="I37" i="50"/>
  <c r="D37" i="50"/>
  <c r="F39" i="50"/>
  <c r="E39" i="50"/>
  <c r="B31" i="50"/>
  <c r="H31" i="50"/>
  <c r="I30" i="50"/>
  <c r="I29" i="50"/>
  <c r="P56" i="50" l="1"/>
  <c r="P39" i="50"/>
  <c r="P57" i="50"/>
  <c r="P59" i="50"/>
  <c r="P60" i="50"/>
  <c r="P61" i="50"/>
  <c r="J38" i="50" l="1"/>
  <c r="H38" i="50"/>
  <c r="I33" i="50" l="1"/>
  <c r="P33" i="50" s="1"/>
  <c r="C32" i="50"/>
  <c r="G28" i="50"/>
  <c r="P38" i="50"/>
  <c r="E28" i="50"/>
  <c r="P32" i="50" l="1"/>
  <c r="P39" i="25" l="1"/>
  <c r="O18" i="50"/>
  <c r="N18" i="50"/>
  <c r="M18" i="50"/>
  <c r="L18" i="50"/>
  <c r="K18" i="50"/>
  <c r="J18" i="50"/>
  <c r="I18" i="50"/>
  <c r="H18" i="50"/>
  <c r="G18" i="50"/>
  <c r="F18" i="50"/>
  <c r="E18" i="50"/>
  <c r="D18" i="50"/>
  <c r="C18" i="50"/>
  <c r="B18" i="50"/>
  <c r="I17" i="50"/>
  <c r="F17" i="50"/>
  <c r="E17" i="50"/>
  <c r="C17" i="50"/>
  <c r="B17" i="50"/>
  <c r="O16" i="50"/>
  <c r="K16" i="50"/>
  <c r="G16" i="50"/>
  <c r="H97" i="50" s="1"/>
  <c r="C16" i="50"/>
  <c r="O14" i="50"/>
  <c r="K14" i="50"/>
  <c r="G14" i="50"/>
  <c r="C14" i="50"/>
  <c r="O13" i="50"/>
  <c r="N13" i="50"/>
  <c r="N95" i="50" s="1"/>
  <c r="M13" i="50"/>
  <c r="M95" i="50" s="1"/>
  <c r="L13" i="50"/>
  <c r="L95" i="50" s="1"/>
  <c r="K13" i="50"/>
  <c r="K95" i="50" s="1"/>
  <c r="J13" i="50"/>
  <c r="J95" i="50" s="1"/>
  <c r="I13" i="50"/>
  <c r="I95" i="50" s="1"/>
  <c r="H13" i="50"/>
  <c r="H95" i="50" s="1"/>
  <c r="G13" i="50"/>
  <c r="F13" i="50"/>
  <c r="F95" i="50" s="1"/>
  <c r="E13" i="50"/>
  <c r="E95" i="50" s="1"/>
  <c r="D13" i="50"/>
  <c r="D95" i="50" s="1"/>
  <c r="C13" i="50"/>
  <c r="B13" i="50"/>
  <c r="B95" i="50" s="1"/>
  <c r="O12" i="50"/>
  <c r="N12" i="50"/>
  <c r="M12" i="50"/>
  <c r="L12" i="50"/>
  <c r="K12" i="50"/>
  <c r="J12" i="50"/>
  <c r="I12" i="50"/>
  <c r="H12" i="50"/>
  <c r="G12" i="50"/>
  <c r="F12" i="50"/>
  <c r="E12" i="50"/>
  <c r="D12" i="50"/>
  <c r="C12" i="50"/>
  <c r="B12" i="50"/>
  <c r="O11" i="50"/>
  <c r="N11" i="50"/>
  <c r="M11" i="50"/>
  <c r="L11" i="50"/>
  <c r="K11" i="50"/>
  <c r="J11" i="50"/>
  <c r="I11" i="50"/>
  <c r="H11" i="50"/>
  <c r="G11" i="50"/>
  <c r="F11" i="50"/>
  <c r="E11" i="50"/>
  <c r="D11" i="50"/>
  <c r="C11" i="50"/>
  <c r="B11" i="50"/>
  <c r="N16" i="50"/>
  <c r="M16" i="50"/>
  <c r="J16" i="50"/>
  <c r="I16" i="50"/>
  <c r="F16" i="50"/>
  <c r="E16" i="50"/>
  <c r="B16" i="50"/>
  <c r="O8" i="50"/>
  <c r="N8" i="50"/>
  <c r="M8" i="50"/>
  <c r="L8" i="50"/>
  <c r="K8" i="50"/>
  <c r="J8" i="50"/>
  <c r="I8" i="50"/>
  <c r="H8" i="50"/>
  <c r="G8" i="50"/>
  <c r="F8" i="50"/>
  <c r="E8" i="50"/>
  <c r="D8" i="50"/>
  <c r="C8" i="50"/>
  <c r="B8" i="50"/>
  <c r="C95" i="50" l="1"/>
  <c r="E20" i="50"/>
  <c r="E21" i="50"/>
  <c r="E144" i="50"/>
  <c r="E143" i="50"/>
  <c r="I20" i="50"/>
  <c r="I21" i="50"/>
  <c r="M20" i="50"/>
  <c r="M21" i="50"/>
  <c r="M144" i="50"/>
  <c r="M143" i="50"/>
  <c r="B21" i="50"/>
  <c r="B20" i="50"/>
  <c r="B143" i="50"/>
  <c r="B144" i="50"/>
  <c r="F21" i="50"/>
  <c r="F20" i="50"/>
  <c r="F144" i="50"/>
  <c r="F143" i="50"/>
  <c r="J21" i="50"/>
  <c r="J20" i="50"/>
  <c r="J144" i="50"/>
  <c r="J143" i="50"/>
  <c r="N21" i="50"/>
  <c r="N20" i="50"/>
  <c r="N144" i="50"/>
  <c r="N143" i="50"/>
  <c r="C20" i="50"/>
  <c r="C21" i="50"/>
  <c r="C143" i="50"/>
  <c r="C144" i="50"/>
  <c r="G20" i="50"/>
  <c r="G21" i="50"/>
  <c r="K20" i="50"/>
  <c r="K21" i="50"/>
  <c r="K143" i="50"/>
  <c r="K144" i="50"/>
  <c r="O20" i="50"/>
  <c r="O21" i="50"/>
  <c r="O143" i="50"/>
  <c r="O144" i="50"/>
  <c r="D20" i="50"/>
  <c r="D21" i="50"/>
  <c r="D143" i="50"/>
  <c r="D144" i="50"/>
  <c r="H20" i="50"/>
  <c r="H21" i="50"/>
  <c r="L20" i="50"/>
  <c r="L21" i="50"/>
  <c r="L143" i="50"/>
  <c r="L144" i="50"/>
  <c r="E127" i="50"/>
  <c r="E129" i="50"/>
  <c r="E130" i="50"/>
  <c r="I129" i="50"/>
  <c r="I130" i="50"/>
  <c r="I127" i="50"/>
  <c r="M129" i="50"/>
  <c r="M130" i="50"/>
  <c r="M127" i="50"/>
  <c r="B129" i="50"/>
  <c r="B127" i="50"/>
  <c r="B130" i="50"/>
  <c r="F130" i="50"/>
  <c r="F127" i="50"/>
  <c r="F129" i="50"/>
  <c r="J130" i="50"/>
  <c r="J127" i="50"/>
  <c r="J129" i="50"/>
  <c r="N130" i="50"/>
  <c r="N127" i="50"/>
  <c r="N129" i="50"/>
  <c r="C130" i="50"/>
  <c r="C127" i="50"/>
  <c r="C129" i="50"/>
  <c r="G130" i="50"/>
  <c r="G129" i="50"/>
  <c r="K127" i="50"/>
  <c r="K130" i="50"/>
  <c r="K129" i="50"/>
  <c r="O130" i="50"/>
  <c r="O129" i="50"/>
  <c r="G88" i="50"/>
  <c r="G89" i="50"/>
  <c r="G24" i="50"/>
  <c r="O88" i="50"/>
  <c r="O89" i="50"/>
  <c r="O81" i="50" s="1"/>
  <c r="O24" i="50"/>
  <c r="G95" i="50"/>
  <c r="G142" i="50"/>
  <c r="O95" i="50"/>
  <c r="O142" i="50"/>
  <c r="D129" i="50"/>
  <c r="D130" i="50"/>
  <c r="D127" i="50"/>
  <c r="H129" i="50"/>
  <c r="H130" i="50"/>
  <c r="H127" i="50"/>
  <c r="L129" i="50"/>
  <c r="L130" i="50"/>
  <c r="L127" i="50"/>
  <c r="K92" i="50"/>
  <c r="K93" i="50"/>
  <c r="C42" i="50"/>
  <c r="C53" i="50" s="1"/>
  <c r="G53" i="50"/>
  <c r="G124" i="50"/>
  <c r="O124" i="50"/>
  <c r="O92" i="50"/>
  <c r="O93" i="50"/>
  <c r="C92" i="50"/>
  <c r="C93" i="50"/>
  <c r="E42" i="50"/>
  <c r="E53" i="50" s="1"/>
  <c r="G92" i="50"/>
  <c r="G93" i="50"/>
  <c r="B42" i="50"/>
  <c r="B53" i="50" s="1"/>
  <c r="F53" i="50"/>
  <c r="H54" i="50"/>
  <c r="P54" i="50" s="1"/>
  <c r="H96" i="50"/>
  <c r="H73" i="50" s="1"/>
  <c r="E96" i="50"/>
  <c r="E73" i="50" s="1"/>
  <c r="I53" i="50"/>
  <c r="F96" i="50"/>
  <c r="F73" i="50" s="1"/>
  <c r="P31" i="50"/>
  <c r="D16" i="50"/>
  <c r="D14" i="50"/>
  <c r="H16" i="50"/>
  <c r="H14" i="50"/>
  <c r="L16" i="50"/>
  <c r="L14" i="50"/>
  <c r="C96" i="50"/>
  <c r="C73" i="50" s="1"/>
  <c r="B96" i="50"/>
  <c r="B73" i="50" s="1"/>
  <c r="E14" i="50"/>
  <c r="I14" i="50"/>
  <c r="M14" i="50"/>
  <c r="B14" i="50"/>
  <c r="F14" i="50"/>
  <c r="J14" i="50"/>
  <c r="N14" i="50"/>
  <c r="G144" i="50" l="1"/>
  <c r="P20" i="50"/>
  <c r="G143" i="50"/>
  <c r="G101" i="50" s="1"/>
  <c r="O103" i="50"/>
  <c r="P21" i="50"/>
  <c r="G82" i="50"/>
  <c r="G81" i="50"/>
  <c r="H42" i="50"/>
  <c r="H53" i="50" s="1"/>
  <c r="H55" i="50"/>
  <c r="G103" i="50"/>
  <c r="O82" i="50"/>
  <c r="O101" i="50"/>
  <c r="O68" i="50" s="1"/>
  <c r="K142" i="50"/>
  <c r="K141" i="50"/>
  <c r="C142" i="50"/>
  <c r="C141" i="50"/>
  <c r="M141" i="50"/>
  <c r="M142" i="50"/>
  <c r="E141" i="50"/>
  <c r="E142" i="50"/>
  <c r="H91" i="50"/>
  <c r="O25" i="50"/>
  <c r="O91" i="50"/>
  <c r="O102" i="50"/>
  <c r="O49" i="50" s="1"/>
  <c r="K26" i="50"/>
  <c r="G25" i="50"/>
  <c r="G91" i="50"/>
  <c r="C26" i="50"/>
  <c r="J141" i="50"/>
  <c r="J142" i="50"/>
  <c r="E91" i="50"/>
  <c r="L141" i="50"/>
  <c r="L142" i="50"/>
  <c r="H142" i="50"/>
  <c r="H141" i="50"/>
  <c r="D142" i="50"/>
  <c r="D141" i="50"/>
  <c r="D91" i="50"/>
  <c r="C25" i="50"/>
  <c r="C91" i="50"/>
  <c r="N141" i="50"/>
  <c r="N142" i="50"/>
  <c r="F91" i="50"/>
  <c r="F141" i="50"/>
  <c r="F142" i="50"/>
  <c r="P130" i="50"/>
  <c r="B141" i="50"/>
  <c r="B142" i="50"/>
  <c r="P127" i="50"/>
  <c r="L91" i="50"/>
  <c r="O26" i="50"/>
  <c r="K25" i="50"/>
  <c r="K91" i="50"/>
  <c r="G102" i="50"/>
  <c r="G26" i="50"/>
  <c r="N91" i="50"/>
  <c r="J91" i="50"/>
  <c r="P129" i="50"/>
  <c r="B91" i="50"/>
  <c r="M91" i="50"/>
  <c r="I142" i="50"/>
  <c r="I141" i="50"/>
  <c r="I91" i="50"/>
  <c r="P73" i="50"/>
  <c r="B92" i="50"/>
  <c r="B26" i="50" s="1"/>
  <c r="B93" i="50"/>
  <c r="H92" i="50"/>
  <c r="H26" i="50" s="1"/>
  <c r="H93" i="50"/>
  <c r="N93" i="50"/>
  <c r="N92" i="50"/>
  <c r="N25" i="50" s="1"/>
  <c r="M93" i="50"/>
  <c r="M92" i="50"/>
  <c r="M26" i="50" s="1"/>
  <c r="P55" i="50"/>
  <c r="J93" i="50"/>
  <c r="J92" i="50"/>
  <c r="J25" i="50" s="1"/>
  <c r="I92" i="50"/>
  <c r="I25" i="50" s="1"/>
  <c r="I93" i="50"/>
  <c r="L92" i="50"/>
  <c r="L25" i="50" s="1"/>
  <c r="L93" i="50"/>
  <c r="D92" i="50"/>
  <c r="D25" i="50" s="1"/>
  <c r="D93" i="50"/>
  <c r="F93" i="50"/>
  <c r="F92" i="50"/>
  <c r="F25" i="50" s="1"/>
  <c r="E93" i="50"/>
  <c r="E92" i="50"/>
  <c r="E26" i="50" s="1"/>
  <c r="G52" i="50"/>
  <c r="H52" i="50"/>
  <c r="P27" i="50"/>
  <c r="P96" i="50"/>
  <c r="G99" i="50" l="1"/>
  <c r="O99" i="50"/>
  <c r="G100" i="50"/>
  <c r="G44" i="50"/>
  <c r="O44" i="50"/>
  <c r="P91" i="50"/>
  <c r="O100" i="50"/>
  <c r="O106" i="50" s="1"/>
  <c r="I143" i="50"/>
  <c r="I101" i="50" s="1"/>
  <c r="I144" i="50"/>
  <c r="I102" i="50" s="1"/>
  <c r="H144" i="50"/>
  <c r="H143" i="50"/>
  <c r="H101" i="50" s="1"/>
  <c r="O50" i="50"/>
  <c r="O70" i="50"/>
  <c r="O48" i="50"/>
  <c r="O71" i="50" s="1"/>
  <c r="O69" i="50"/>
  <c r="B25" i="50"/>
  <c r="N26" i="50"/>
  <c r="D26" i="50"/>
  <c r="L26" i="50"/>
  <c r="N90" i="50"/>
  <c r="N89" i="50"/>
  <c r="N88" i="50"/>
  <c r="H24" i="50"/>
  <c r="H103" i="50"/>
  <c r="E25" i="50"/>
  <c r="H25" i="50"/>
  <c r="I26" i="50"/>
  <c r="C85" i="50"/>
  <c r="C101" i="50"/>
  <c r="C24" i="50"/>
  <c r="C103" i="50"/>
  <c r="C102" i="50"/>
  <c r="M25" i="50"/>
  <c r="F26" i="50"/>
  <c r="D90" i="50"/>
  <c r="D89" i="50"/>
  <c r="D88" i="50"/>
  <c r="L24" i="50"/>
  <c r="L102" i="50"/>
  <c r="L103" i="50"/>
  <c r="L101" i="50"/>
  <c r="L50" i="50" s="1"/>
  <c r="E103" i="50"/>
  <c r="E101" i="50"/>
  <c r="E68" i="50" s="1"/>
  <c r="E102" i="50"/>
  <c r="E24" i="50"/>
  <c r="E99" i="50" s="1"/>
  <c r="M24" i="50"/>
  <c r="M101" i="50"/>
  <c r="M48" i="50" s="1"/>
  <c r="M102" i="50"/>
  <c r="M103" i="50"/>
  <c r="K90" i="50"/>
  <c r="K89" i="50"/>
  <c r="K88" i="50"/>
  <c r="I90" i="50"/>
  <c r="I89" i="50"/>
  <c r="I88" i="50"/>
  <c r="P142" i="50"/>
  <c r="B103" i="50"/>
  <c r="B102" i="50"/>
  <c r="B101" i="50"/>
  <c r="B48" i="50" s="1"/>
  <c r="B24" i="50"/>
  <c r="F101" i="50"/>
  <c r="F50" i="50" s="1"/>
  <c r="F102" i="50"/>
  <c r="F103" i="50"/>
  <c r="F24" i="50"/>
  <c r="J26" i="50"/>
  <c r="D24" i="50"/>
  <c r="D99" i="50" s="1"/>
  <c r="D102" i="50"/>
  <c r="D101" i="50"/>
  <c r="D50" i="50" s="1"/>
  <c r="D103" i="50"/>
  <c r="L90" i="50"/>
  <c r="L89" i="50"/>
  <c r="L88" i="50"/>
  <c r="J102" i="50"/>
  <c r="J101" i="50"/>
  <c r="J50" i="50" s="1"/>
  <c r="J24" i="50"/>
  <c r="J99" i="50" s="1"/>
  <c r="J103" i="50"/>
  <c r="E90" i="50"/>
  <c r="E89" i="50"/>
  <c r="E88" i="50"/>
  <c r="M90" i="50"/>
  <c r="M88" i="50"/>
  <c r="M89" i="50"/>
  <c r="K101" i="50"/>
  <c r="K24" i="50"/>
  <c r="K99" i="50" s="1"/>
  <c r="K103" i="50"/>
  <c r="K102" i="50"/>
  <c r="I24" i="50"/>
  <c r="I99" i="50" s="1"/>
  <c r="I103" i="50"/>
  <c r="B90" i="50"/>
  <c r="B89" i="50"/>
  <c r="B88" i="50"/>
  <c r="F90" i="50"/>
  <c r="F88" i="50"/>
  <c r="F89" i="50"/>
  <c r="N85" i="50"/>
  <c r="N102" i="50"/>
  <c r="N24" i="50"/>
  <c r="N99" i="50" s="1"/>
  <c r="N101" i="50"/>
  <c r="N50" i="50" s="1"/>
  <c r="N103" i="50"/>
  <c r="H90" i="50"/>
  <c r="H89" i="50"/>
  <c r="H88" i="50"/>
  <c r="H102" i="50"/>
  <c r="J90" i="50"/>
  <c r="J88" i="50"/>
  <c r="J89" i="50"/>
  <c r="C90" i="50"/>
  <c r="C88" i="50"/>
  <c r="C89" i="50"/>
  <c r="L70" i="50"/>
  <c r="P141" i="50"/>
  <c r="E52" i="50"/>
  <c r="B52" i="50"/>
  <c r="F52" i="50"/>
  <c r="C52" i="50"/>
  <c r="P97" i="50"/>
  <c r="H99" i="50" l="1"/>
  <c r="M99" i="50"/>
  <c r="F99" i="50"/>
  <c r="L99" i="50"/>
  <c r="C44" i="50"/>
  <c r="C99" i="50"/>
  <c r="E48" i="50"/>
  <c r="E71" i="50" s="1"/>
  <c r="M50" i="50"/>
  <c r="M70" i="50"/>
  <c r="N44" i="50"/>
  <c r="E50" i="50"/>
  <c r="K44" i="50"/>
  <c r="D48" i="50"/>
  <c r="J44" i="50"/>
  <c r="J68" i="50"/>
  <c r="B100" i="50"/>
  <c r="B44" i="50"/>
  <c r="B99" i="50"/>
  <c r="L44" i="50"/>
  <c r="F44" i="50"/>
  <c r="I44" i="50"/>
  <c r="D44" i="50"/>
  <c r="H44" i="50"/>
  <c r="M44" i="50"/>
  <c r="E44" i="50"/>
  <c r="L68" i="50"/>
  <c r="D100" i="50"/>
  <c r="J100" i="50"/>
  <c r="E100" i="50"/>
  <c r="E106" i="50" s="1"/>
  <c r="L48" i="50"/>
  <c r="N100" i="50"/>
  <c r="H100" i="50"/>
  <c r="H106" i="50" s="1"/>
  <c r="I100" i="50"/>
  <c r="I106" i="50" s="1"/>
  <c r="K100" i="50"/>
  <c r="F100" i="50"/>
  <c r="F106" i="50" s="1"/>
  <c r="M100" i="50"/>
  <c r="L100" i="50"/>
  <c r="C100" i="50"/>
  <c r="N70" i="50"/>
  <c r="F48" i="50"/>
  <c r="F70" i="50"/>
  <c r="B70" i="50"/>
  <c r="B68" i="50"/>
  <c r="B71" i="50" s="1"/>
  <c r="B50" i="50"/>
  <c r="C82" i="50"/>
  <c r="C81" i="50"/>
  <c r="B82" i="50"/>
  <c r="B81" i="50"/>
  <c r="M82" i="50"/>
  <c r="M81" i="50"/>
  <c r="E82" i="50"/>
  <c r="E81" i="50"/>
  <c r="D82" i="50"/>
  <c r="D81" i="50"/>
  <c r="N48" i="50"/>
  <c r="H82" i="50"/>
  <c r="H81" i="50"/>
  <c r="M68" i="50"/>
  <c r="M71" i="50" s="1"/>
  <c r="N68" i="50"/>
  <c r="J48" i="50"/>
  <c r="F68" i="50"/>
  <c r="E70" i="50"/>
  <c r="I82" i="50"/>
  <c r="I81" i="50"/>
  <c r="F82" i="50"/>
  <c r="F81" i="50"/>
  <c r="J70" i="50"/>
  <c r="K82" i="50"/>
  <c r="K81" i="50"/>
  <c r="J82" i="50"/>
  <c r="J81" i="50"/>
  <c r="L82" i="50"/>
  <c r="L81" i="50"/>
  <c r="N82" i="50"/>
  <c r="N81" i="50"/>
  <c r="D70" i="50"/>
  <c r="J49" i="50"/>
  <c r="J69" i="50"/>
  <c r="L49" i="50"/>
  <c r="L69" i="50"/>
  <c r="D49" i="50"/>
  <c r="D69" i="50"/>
  <c r="C68" i="50"/>
  <c r="C48" i="50"/>
  <c r="C70" i="50"/>
  <c r="C50" i="50"/>
  <c r="N49" i="50"/>
  <c r="N69" i="50"/>
  <c r="D68" i="50"/>
  <c r="K68" i="50"/>
  <c r="K48" i="50"/>
  <c r="K50" i="50"/>
  <c r="K70" i="50"/>
  <c r="K49" i="50"/>
  <c r="K69" i="50"/>
  <c r="F49" i="50"/>
  <c r="F69" i="50"/>
  <c r="B49" i="50"/>
  <c r="B69" i="50"/>
  <c r="M49" i="50"/>
  <c r="M69" i="50"/>
  <c r="E49" i="50"/>
  <c r="E69" i="50"/>
  <c r="C49" i="50"/>
  <c r="C69" i="50"/>
  <c r="P52" i="50"/>
  <c r="I49" i="50"/>
  <c r="I69" i="50"/>
  <c r="H49" i="50"/>
  <c r="H69" i="50"/>
  <c r="G49" i="50"/>
  <c r="G69" i="50"/>
  <c r="P102" i="50"/>
  <c r="P89" i="50"/>
  <c r="P144" i="50"/>
  <c r="P88" i="50"/>
  <c r="H48" i="50"/>
  <c r="H50" i="50"/>
  <c r="H70" i="50"/>
  <c r="H68" i="50"/>
  <c r="G70" i="50"/>
  <c r="G68" i="50"/>
  <c r="G50" i="50"/>
  <c r="G48" i="50"/>
  <c r="P90" i="50"/>
  <c r="P143" i="50"/>
  <c r="P30" i="50"/>
  <c r="P26" i="50"/>
  <c r="P29" i="50"/>
  <c r="P37" i="50"/>
  <c r="P24" i="50"/>
  <c r="P25" i="50"/>
  <c r="P28" i="50"/>
  <c r="L71" i="50" l="1"/>
  <c r="J71" i="50"/>
  <c r="H71" i="50"/>
  <c r="D71" i="50"/>
  <c r="F71" i="50"/>
  <c r="G71" i="50"/>
  <c r="C71" i="50"/>
  <c r="N71" i="50"/>
  <c r="P82" i="50"/>
  <c r="K71" i="50"/>
  <c r="P81" i="50"/>
  <c r="I48" i="50"/>
  <c r="I50" i="50"/>
  <c r="P50" i="50" s="1"/>
  <c r="I70" i="50"/>
  <c r="P49" i="50"/>
  <c r="I68" i="50"/>
  <c r="K105" i="50"/>
  <c r="K106" i="50" s="1"/>
  <c r="O105" i="50"/>
  <c r="G105" i="50"/>
  <c r="G106" i="50" s="1"/>
  <c r="C105" i="50"/>
  <c r="P103" i="50"/>
  <c r="P101" i="50"/>
  <c r="C106" i="50" l="1"/>
  <c r="C107" i="50" s="1"/>
  <c r="C108" i="50" s="1"/>
  <c r="I71" i="50"/>
  <c r="P71" i="50" s="1"/>
  <c r="J105" i="50"/>
  <c r="J106" i="50" s="1"/>
  <c r="H105" i="50"/>
  <c r="I105" i="50"/>
  <c r="I107" i="50" s="1"/>
  <c r="I108" i="50" s="1"/>
  <c r="M105" i="50"/>
  <c r="M106" i="50" s="1"/>
  <c r="N105" i="50"/>
  <c r="N106" i="50" s="1"/>
  <c r="L105" i="50"/>
  <c r="L106" i="50" s="1"/>
  <c r="E105" i="50"/>
  <c r="E107" i="50" s="1"/>
  <c r="E108" i="50" s="1"/>
  <c r="B105" i="50"/>
  <c r="B106" i="50" s="1"/>
  <c r="D105" i="50"/>
  <c r="D106" i="50" s="1"/>
  <c r="F105" i="50"/>
  <c r="F107" i="50" s="1"/>
  <c r="F108" i="50" s="1"/>
  <c r="P48" i="50"/>
  <c r="P68" i="50"/>
  <c r="P69" i="50"/>
  <c r="P70" i="50"/>
  <c r="C18" i="25"/>
  <c r="D18" i="25"/>
  <c r="E18" i="25"/>
  <c r="F18" i="25"/>
  <c r="G18" i="25"/>
  <c r="H18" i="25"/>
  <c r="I18" i="25"/>
  <c r="J18" i="25"/>
  <c r="K18" i="25"/>
  <c r="L18" i="25"/>
  <c r="M18" i="25"/>
  <c r="N18" i="25"/>
  <c r="O18" i="25"/>
  <c r="B18" i="25"/>
  <c r="D20" i="25" l="1"/>
  <c r="H121" i="25"/>
  <c r="H118" i="25"/>
  <c r="H120" i="25"/>
  <c r="K136" i="25"/>
  <c r="K135" i="25"/>
  <c r="K120" i="25"/>
  <c r="K121" i="25"/>
  <c r="K118" i="25"/>
  <c r="G120" i="25"/>
  <c r="G121" i="25"/>
  <c r="C136" i="25"/>
  <c r="C121" i="25"/>
  <c r="C135" i="25"/>
  <c r="C120" i="25"/>
  <c r="C118" i="25"/>
  <c r="B121" i="25"/>
  <c r="B135" i="25"/>
  <c r="B120" i="25"/>
  <c r="B118" i="25"/>
  <c r="B136" i="25"/>
  <c r="D136" i="25"/>
  <c r="D135" i="25"/>
  <c r="D118" i="25"/>
  <c r="D121" i="25"/>
  <c r="D120" i="25"/>
  <c r="N121" i="25"/>
  <c r="N118" i="25"/>
  <c r="N136" i="25"/>
  <c r="N135" i="25"/>
  <c r="N120" i="25"/>
  <c r="J121" i="25"/>
  <c r="J118" i="25"/>
  <c r="J136" i="25"/>
  <c r="J135" i="25"/>
  <c r="J120" i="25"/>
  <c r="F121" i="25"/>
  <c r="F135" i="25"/>
  <c r="F120" i="25"/>
  <c r="F118" i="25"/>
  <c r="F136" i="25"/>
  <c r="L118" i="25"/>
  <c r="L120" i="25"/>
  <c r="L121" i="25"/>
  <c r="L135" i="25"/>
  <c r="L136" i="25"/>
  <c r="O136" i="25"/>
  <c r="O121" i="25"/>
  <c r="O135" i="25"/>
  <c r="O120" i="25"/>
  <c r="M135" i="25"/>
  <c r="M120" i="25"/>
  <c r="M121" i="25"/>
  <c r="M118" i="25"/>
  <c r="M136" i="25"/>
  <c r="I120" i="25"/>
  <c r="I121" i="25"/>
  <c r="I118" i="25"/>
  <c r="E135" i="25"/>
  <c r="E120" i="25"/>
  <c r="E118" i="25"/>
  <c r="E136" i="25"/>
  <c r="E121" i="25"/>
  <c r="P105" i="50"/>
  <c r="B107" i="50"/>
  <c r="B108" i="50" s="1"/>
  <c r="L20" i="25"/>
  <c r="L21" i="25"/>
  <c r="L64" i="25"/>
  <c r="L50" i="25" s="1"/>
  <c r="H20" i="25"/>
  <c r="H21" i="25"/>
  <c r="D21" i="25"/>
  <c r="D64" i="25"/>
  <c r="D50" i="25" s="1"/>
  <c r="O20" i="25"/>
  <c r="O21" i="25"/>
  <c r="O64" i="25"/>
  <c r="O50" i="25" s="1"/>
  <c r="K20" i="25"/>
  <c r="K21" i="25"/>
  <c r="K64" i="25"/>
  <c r="K50" i="25" s="1"/>
  <c r="G20" i="25"/>
  <c r="G21" i="25"/>
  <c r="C20" i="25"/>
  <c r="C21" i="25"/>
  <c r="B20" i="25"/>
  <c r="B21" i="25"/>
  <c r="N21" i="25"/>
  <c r="N20" i="25"/>
  <c r="N64" i="25"/>
  <c r="N50" i="25" s="1"/>
  <c r="J21" i="25"/>
  <c r="J20" i="25"/>
  <c r="J64" i="25"/>
  <c r="J50" i="25" s="1"/>
  <c r="F21" i="25"/>
  <c r="F20" i="25"/>
  <c r="M21" i="25"/>
  <c r="M20" i="25"/>
  <c r="M64" i="25"/>
  <c r="M50" i="25" s="1"/>
  <c r="I21" i="25"/>
  <c r="I20" i="25"/>
  <c r="E21" i="25"/>
  <c r="E20" i="25"/>
  <c r="J53" i="25"/>
  <c r="E53" i="25"/>
  <c r="L53" i="25"/>
  <c r="D53" i="25"/>
  <c r="N53" i="25"/>
  <c r="F53" i="25"/>
  <c r="M53" i="25"/>
  <c r="B53" i="25"/>
  <c r="O53" i="25"/>
  <c r="K53" i="25"/>
  <c r="C53" i="25"/>
  <c r="H133" i="25" l="1"/>
  <c r="I133" i="25"/>
  <c r="L133" i="25"/>
  <c r="L81" i="25" s="1"/>
  <c r="E133" i="25"/>
  <c r="E81" i="25" s="1"/>
  <c r="J133" i="25"/>
  <c r="K133" i="25"/>
  <c r="M133" i="25"/>
  <c r="M81" i="25" s="1"/>
  <c r="F133" i="25"/>
  <c r="F81" i="25" s="1"/>
  <c r="N133" i="25"/>
  <c r="D133" i="25"/>
  <c r="D81" i="25" s="1"/>
  <c r="B133" i="25"/>
  <c r="B81" i="25" s="1"/>
  <c r="C134" i="25"/>
  <c r="C133" i="25"/>
  <c r="P118" i="25"/>
  <c r="G82" i="25"/>
  <c r="L82" i="25"/>
  <c r="F82" i="25"/>
  <c r="J82" i="25"/>
  <c r="J90" i="62" s="1"/>
  <c r="P90" i="62" s="1"/>
  <c r="B82" i="25"/>
  <c r="P120" i="25"/>
  <c r="O82" i="25"/>
  <c r="J81" i="25"/>
  <c r="J88" i="62" s="1"/>
  <c r="P88" i="62" s="1"/>
  <c r="C92" i="25"/>
  <c r="C95" i="25" s="1"/>
  <c r="E82" i="25"/>
  <c r="M82" i="25"/>
  <c r="N81" i="25"/>
  <c r="D82" i="25"/>
  <c r="C82" i="25"/>
  <c r="K82" i="25"/>
  <c r="H82" i="25"/>
  <c r="I82" i="25"/>
  <c r="P121" i="25"/>
  <c r="K81" i="25"/>
  <c r="C93" i="25"/>
  <c r="N82" i="25"/>
  <c r="J146" i="62"/>
  <c r="P146" i="62" s="1"/>
  <c r="P21" i="25"/>
  <c r="P20" i="25"/>
  <c r="C17" i="25"/>
  <c r="E17" i="25"/>
  <c r="F17" i="25"/>
  <c r="I17" i="25"/>
  <c r="B17" i="25"/>
  <c r="P82" i="25" l="1"/>
  <c r="C94" i="25"/>
  <c r="I81" i="25"/>
  <c r="H81" i="25"/>
  <c r="C81" i="25"/>
  <c r="P133" i="25"/>
  <c r="P81" i="25" l="1"/>
  <c r="C8" i="25"/>
  <c r="D8" i="25"/>
  <c r="E8" i="25"/>
  <c r="F8" i="25"/>
  <c r="G8" i="25"/>
  <c r="H8" i="25"/>
  <c r="I8" i="25"/>
  <c r="J8" i="25"/>
  <c r="K8" i="25"/>
  <c r="L8" i="25"/>
  <c r="M8" i="25"/>
  <c r="N8" i="25"/>
  <c r="O8" i="25"/>
  <c r="B8" i="25"/>
  <c r="C12" i="25"/>
  <c r="D12" i="25"/>
  <c r="E12" i="25"/>
  <c r="F12" i="25"/>
  <c r="G12" i="25"/>
  <c r="H12" i="25"/>
  <c r="I12" i="25"/>
  <c r="J12" i="25"/>
  <c r="K12" i="25"/>
  <c r="L12" i="25"/>
  <c r="M12" i="25"/>
  <c r="N12" i="25"/>
  <c r="O12" i="25"/>
  <c r="B12" i="25"/>
  <c r="C11" i="25"/>
  <c r="C80" i="25" s="1"/>
  <c r="C74" i="25" s="1"/>
  <c r="D11" i="25"/>
  <c r="D80" i="25" s="1"/>
  <c r="D74" i="25" s="1"/>
  <c r="E11" i="25"/>
  <c r="E80" i="25" s="1"/>
  <c r="E74" i="25" s="1"/>
  <c r="F11" i="25"/>
  <c r="F80" i="25" s="1"/>
  <c r="F74" i="25" s="1"/>
  <c r="G11" i="25"/>
  <c r="G80" i="25" s="1"/>
  <c r="G74" i="25" s="1"/>
  <c r="H11" i="25"/>
  <c r="H80" i="25" s="1"/>
  <c r="H74" i="25" s="1"/>
  <c r="I11" i="25"/>
  <c r="I80" i="25" s="1"/>
  <c r="I74" i="25" s="1"/>
  <c r="J11" i="25"/>
  <c r="K11" i="25"/>
  <c r="K80" i="25" s="1"/>
  <c r="K74" i="25" s="1"/>
  <c r="L11" i="25"/>
  <c r="M11" i="25"/>
  <c r="M80" i="25" s="1"/>
  <c r="M74" i="25" s="1"/>
  <c r="N11" i="25"/>
  <c r="N80" i="25" s="1"/>
  <c r="N74" i="25" s="1"/>
  <c r="O11" i="25"/>
  <c r="O80" i="25" s="1"/>
  <c r="O74" i="25" s="1"/>
  <c r="B11" i="25"/>
  <c r="B80" i="25" s="1"/>
  <c r="L80" i="25" l="1"/>
  <c r="L74" i="25" s="1"/>
  <c r="J80" i="25"/>
  <c r="J74" i="25" s="1"/>
  <c r="M68" i="25"/>
  <c r="I68" i="25"/>
  <c r="I71" i="62" s="1"/>
  <c r="D68" i="25"/>
  <c r="D71" i="62" s="1"/>
  <c r="N68" i="25"/>
  <c r="F68" i="25"/>
  <c r="F71" i="62" s="1"/>
  <c r="E68" i="25"/>
  <c r="E71" i="62" s="1"/>
  <c r="H68" i="25"/>
  <c r="O24" i="25"/>
  <c r="O68" i="25"/>
  <c r="O71" i="62" s="1"/>
  <c r="G24" i="25"/>
  <c r="G68" i="25"/>
  <c r="G71" i="62" s="1"/>
  <c r="K79" i="25"/>
  <c r="K73" i="25" s="1"/>
  <c r="N79" i="25"/>
  <c r="N73" i="25" s="1"/>
  <c r="F79" i="25"/>
  <c r="F115" i="25"/>
  <c r="F127" i="62" s="1"/>
  <c r="M79" i="25"/>
  <c r="M73" i="25" s="1"/>
  <c r="I79" i="25"/>
  <c r="I73" i="25" s="1"/>
  <c r="E79" i="25"/>
  <c r="E73" i="25" s="1"/>
  <c r="O79" i="25"/>
  <c r="O73" i="25" s="1"/>
  <c r="O115" i="25"/>
  <c r="J79" i="25"/>
  <c r="B79" i="25"/>
  <c r="L79" i="25"/>
  <c r="L73" i="25" s="1"/>
  <c r="H79" i="25"/>
  <c r="H73" i="25" s="1"/>
  <c r="D79" i="25"/>
  <c r="D73" i="25" s="1"/>
  <c r="G79" i="25"/>
  <c r="G73" i="25" s="1"/>
  <c r="G115" i="25"/>
  <c r="C79" i="25"/>
  <c r="C73" i="25" s="1"/>
  <c r="F124" i="50"/>
  <c r="F73" i="25"/>
  <c r="O113" i="25"/>
  <c r="O125" i="62" s="1"/>
  <c r="O122" i="50" s="1"/>
  <c r="O112" i="25"/>
  <c r="O124" i="62" s="1"/>
  <c r="O121" i="50" s="1"/>
  <c r="G113" i="25"/>
  <c r="G125" i="62" s="1"/>
  <c r="G122" i="50" s="1"/>
  <c r="G112" i="25"/>
  <c r="G124" i="62" s="1"/>
  <c r="G121" i="50" s="1"/>
  <c r="I112" i="25"/>
  <c r="I124" i="62" s="1"/>
  <c r="I121" i="50" s="1"/>
  <c r="I113" i="25"/>
  <c r="I125" i="62" s="1"/>
  <c r="I122" i="50" s="1"/>
  <c r="G103" i="63" l="1"/>
  <c r="G138" i="66" s="1"/>
  <c r="G126" i="67" s="1"/>
  <c r="G116" i="68" s="1"/>
  <c r="G124" i="72" s="1"/>
  <c r="F121" i="73" s="1"/>
  <c r="G126" i="75"/>
  <c r="F76" i="50"/>
  <c r="O103" i="63"/>
  <c r="O107" i="64" s="1"/>
  <c r="O138" i="66" s="1"/>
  <c r="O126" i="67" s="1"/>
  <c r="O126" i="75"/>
  <c r="G76" i="50"/>
  <c r="G102" i="63"/>
  <c r="G137" i="66" s="1"/>
  <c r="G125" i="67" s="1"/>
  <c r="G115" i="68" s="1"/>
  <c r="G123" i="72" s="1"/>
  <c r="F120" i="73" s="1"/>
  <c r="G125" i="75"/>
  <c r="E76" i="50"/>
  <c r="I76" i="50"/>
  <c r="I103" i="63"/>
  <c r="I107" i="64" s="1"/>
  <c r="I138" i="66" s="1"/>
  <c r="I126" i="67" s="1"/>
  <c r="I116" i="68" s="1"/>
  <c r="I124" i="72" s="1"/>
  <c r="G121" i="73" s="1"/>
  <c r="I126" i="75"/>
  <c r="O102" i="63"/>
  <c r="O106" i="64" s="1"/>
  <c r="O137" i="66" s="1"/>
  <c r="O125" i="67" s="1"/>
  <c r="O125" i="75"/>
  <c r="F105" i="63"/>
  <c r="F109" i="64" s="1"/>
  <c r="F140" i="66" s="1"/>
  <c r="F128" i="67" s="1"/>
  <c r="F118" i="68" s="1"/>
  <c r="F126" i="72" s="1"/>
  <c r="F128" i="75"/>
  <c r="O76" i="50"/>
  <c r="I102" i="63"/>
  <c r="I106" i="64" s="1"/>
  <c r="I137" i="66" s="1"/>
  <c r="I125" i="67" s="1"/>
  <c r="I115" i="68" s="1"/>
  <c r="I123" i="72" s="1"/>
  <c r="G120" i="73" s="1"/>
  <c r="I125" i="75"/>
  <c r="D81" i="71"/>
  <c r="D66" i="72" s="1"/>
  <c r="C65" i="73" s="1"/>
  <c r="C71" i="74" s="1"/>
  <c r="D76" i="50"/>
  <c r="J86" i="62"/>
  <c r="P86" i="62" s="1"/>
  <c r="N71" i="62"/>
  <c r="H71" i="62"/>
  <c r="M71" i="62"/>
  <c r="J73" i="25"/>
  <c r="J84" i="62"/>
  <c r="P84" i="62" s="1"/>
  <c r="P79" i="25"/>
  <c r="C10" i="25"/>
  <c r="D10" i="25"/>
  <c r="E10" i="25"/>
  <c r="F10" i="25"/>
  <c r="G10" i="25"/>
  <c r="H10" i="25"/>
  <c r="I10" i="25"/>
  <c r="J10" i="25"/>
  <c r="K10" i="25"/>
  <c r="L10" i="25"/>
  <c r="M10" i="25"/>
  <c r="N10" i="25"/>
  <c r="O10" i="25"/>
  <c r="B10" i="25"/>
  <c r="D13" i="25"/>
  <c r="D134" i="25" s="1"/>
  <c r="E13" i="25"/>
  <c r="E134" i="25" s="1"/>
  <c r="E94" i="25" s="1"/>
  <c r="F13" i="25"/>
  <c r="F134" i="25" s="1"/>
  <c r="F94" i="25" s="1"/>
  <c r="G13" i="25"/>
  <c r="G134" i="25" s="1"/>
  <c r="G94" i="25" s="1"/>
  <c r="H13" i="25"/>
  <c r="I13" i="25"/>
  <c r="I134" i="25" s="1"/>
  <c r="I94" i="25" s="1"/>
  <c r="J13" i="25"/>
  <c r="J134" i="25" s="1"/>
  <c r="K13" i="25"/>
  <c r="K134" i="25" s="1"/>
  <c r="K94" i="25" s="1"/>
  <c r="L13" i="25"/>
  <c r="L134" i="25" s="1"/>
  <c r="M13" i="25"/>
  <c r="M134" i="25" s="1"/>
  <c r="M94" i="25" s="1"/>
  <c r="N13" i="25"/>
  <c r="N134" i="25" s="1"/>
  <c r="O13" i="25"/>
  <c r="O134" i="25" s="1"/>
  <c r="O94" i="25" s="1"/>
  <c r="B13" i="25"/>
  <c r="B134" i="25" s="1"/>
  <c r="H76" i="50" l="1"/>
  <c r="E66" i="75"/>
  <c r="E59" i="63"/>
  <c r="E60" i="64" s="1"/>
  <c r="E72" i="66" s="1"/>
  <c r="E68" i="67" s="1"/>
  <c r="E65" i="68" s="1"/>
  <c r="E81" i="71" s="1"/>
  <c r="E66" i="72" s="1"/>
  <c r="D65" i="73" s="1"/>
  <c r="D71" i="74" s="1"/>
  <c r="F66" i="75"/>
  <c r="F59" i="63"/>
  <c r="F60" i="64" s="1"/>
  <c r="F72" i="66" s="1"/>
  <c r="F68" i="67" s="1"/>
  <c r="F65" i="68" s="1"/>
  <c r="F81" i="71" s="1"/>
  <c r="F66" i="72" s="1"/>
  <c r="E65" i="73" s="1"/>
  <c r="E71" i="74" s="1"/>
  <c r="N76" i="50"/>
  <c r="G66" i="75"/>
  <c r="G59" i="63"/>
  <c r="G60" i="64" s="1"/>
  <c r="G72" i="66" s="1"/>
  <c r="G68" i="67" s="1"/>
  <c r="G65" i="68" s="1"/>
  <c r="G81" i="71" s="1"/>
  <c r="G66" i="72" s="1"/>
  <c r="F65" i="73" s="1"/>
  <c r="F71" i="74" s="1"/>
  <c r="M76" i="50"/>
  <c r="D66" i="75"/>
  <c r="D59" i="63"/>
  <c r="D60" i="64" s="1"/>
  <c r="D72" i="66" s="1"/>
  <c r="D68" i="67" s="1"/>
  <c r="O66" i="75"/>
  <c r="O59" i="63"/>
  <c r="O60" i="64" s="1"/>
  <c r="O72" i="66" s="1"/>
  <c r="O68" i="67" s="1"/>
  <c r="O65" i="68" s="1"/>
  <c r="O81" i="71" s="1"/>
  <c r="O66" i="72" s="1"/>
  <c r="L65" i="73" s="1"/>
  <c r="K33" i="74" s="1"/>
  <c r="I66" i="75"/>
  <c r="I59" i="63"/>
  <c r="I60" i="64" s="1"/>
  <c r="I72" i="66" s="1"/>
  <c r="I68" i="67" s="1"/>
  <c r="I65" i="68" s="1"/>
  <c r="I81" i="71" s="1"/>
  <c r="I66" i="72" s="1"/>
  <c r="G65" i="73" s="1"/>
  <c r="G71" i="74" s="1"/>
  <c r="B75" i="25"/>
  <c r="B79" i="62" s="1"/>
  <c r="B84" i="50" s="1"/>
  <c r="B94" i="25"/>
  <c r="L94" i="25"/>
  <c r="H138" i="25"/>
  <c r="H139" i="25" s="1"/>
  <c r="H140" i="25" s="1"/>
  <c r="H134" i="25"/>
  <c r="H135" i="25" s="1"/>
  <c r="H92" i="25" s="1"/>
  <c r="N94" i="25"/>
  <c r="J148" i="62"/>
  <c r="P148" i="62" s="1"/>
  <c r="J94" i="25"/>
  <c r="J105" i="62" s="1"/>
  <c r="P105" i="62" s="1"/>
  <c r="I136" i="25"/>
  <c r="I93" i="25" s="1"/>
  <c r="I135" i="25"/>
  <c r="I92" i="25" s="1"/>
  <c r="O86" i="25"/>
  <c r="O93" i="25" s="1"/>
  <c r="G86" i="25"/>
  <c r="N86" i="25"/>
  <c r="N92" i="25" s="1"/>
  <c r="N95" i="25" s="1"/>
  <c r="J86" i="25"/>
  <c r="J92" i="25" s="1"/>
  <c r="F86" i="25"/>
  <c r="F92" i="25" s="1"/>
  <c r="F95" i="25" s="1"/>
  <c r="K86" i="25"/>
  <c r="K92" i="25" s="1"/>
  <c r="K95" i="25" s="1"/>
  <c r="M86" i="25"/>
  <c r="M93" i="25" s="1"/>
  <c r="I86" i="25"/>
  <c r="E86" i="25"/>
  <c r="E93" i="25" s="1"/>
  <c r="B86" i="25"/>
  <c r="B93" i="25" s="1"/>
  <c r="L86" i="25"/>
  <c r="L92" i="25" s="1"/>
  <c r="L95" i="25" s="1"/>
  <c r="H86" i="25"/>
  <c r="D86" i="25"/>
  <c r="D92" i="25" s="1"/>
  <c r="D95" i="25" s="1"/>
  <c r="K93" i="25"/>
  <c r="N93" i="25"/>
  <c r="G64" i="25"/>
  <c r="J78" i="62"/>
  <c r="P78" i="62" s="1"/>
  <c r="I64" i="25"/>
  <c r="I50" i="25" s="1"/>
  <c r="B74" i="25"/>
  <c r="B73" i="25"/>
  <c r="P73" i="25" s="1"/>
  <c r="K69" i="74"/>
  <c r="F69" i="74"/>
  <c r="E70" i="74"/>
  <c r="E69" i="74"/>
  <c r="C33" i="74"/>
  <c r="L14" i="25"/>
  <c r="L68" i="25" s="1"/>
  <c r="L16" i="25"/>
  <c r="L115" i="25" s="1"/>
  <c r="L127" i="62" s="1"/>
  <c r="H14" i="25"/>
  <c r="H16" i="25"/>
  <c r="H53" i="25" s="1"/>
  <c r="D14" i="25"/>
  <c r="D94" i="25" s="1"/>
  <c r="D16" i="25"/>
  <c r="D115" i="25" s="1"/>
  <c r="D127" i="62" s="1"/>
  <c r="O14" i="25"/>
  <c r="O16" i="25"/>
  <c r="K14" i="25"/>
  <c r="K16" i="25"/>
  <c r="G14" i="25"/>
  <c r="G16" i="25"/>
  <c r="G51" i="25" s="1"/>
  <c r="C14" i="25"/>
  <c r="C16" i="25"/>
  <c r="B14" i="25"/>
  <c r="B16" i="25"/>
  <c r="B115" i="25" s="1"/>
  <c r="B127" i="62" s="1"/>
  <c r="M14" i="25"/>
  <c r="M16" i="25"/>
  <c r="M115" i="25" s="1"/>
  <c r="M127" i="62" s="1"/>
  <c r="I14" i="25"/>
  <c r="I16" i="25"/>
  <c r="I53" i="25" s="1"/>
  <c r="E14" i="25"/>
  <c r="E16" i="25"/>
  <c r="E115" i="25" s="1"/>
  <c r="E127" i="62" s="1"/>
  <c r="N14" i="25"/>
  <c r="N16" i="25"/>
  <c r="N115" i="25" s="1"/>
  <c r="N127" i="62" s="1"/>
  <c r="J14" i="25"/>
  <c r="J68" i="25" s="1"/>
  <c r="J71" i="62" s="1"/>
  <c r="J76" i="50" s="1"/>
  <c r="J16" i="25"/>
  <c r="J115" i="25" s="1"/>
  <c r="J127" i="62" s="1"/>
  <c r="F14" i="25"/>
  <c r="F16" i="25"/>
  <c r="F51" i="25" s="1"/>
  <c r="D33" i="74" l="1"/>
  <c r="D39" i="74" s="1"/>
  <c r="C115" i="25"/>
  <c r="C127" i="62" s="1"/>
  <c r="C114" i="25"/>
  <c r="C126" i="62" s="1"/>
  <c r="C123" i="50" s="1"/>
  <c r="E33" i="74"/>
  <c r="M92" i="25"/>
  <c r="M95" i="25" s="1"/>
  <c r="D93" i="25"/>
  <c r="H136" i="25"/>
  <c r="H93" i="25" s="1"/>
  <c r="H61" i="25" s="1"/>
  <c r="F33" i="74"/>
  <c r="F88" i="74" s="1"/>
  <c r="B92" i="25"/>
  <c r="B95" i="25" s="1"/>
  <c r="J66" i="75"/>
  <c r="J59" i="63"/>
  <c r="J60" i="64" s="1"/>
  <c r="J72" i="66" s="1"/>
  <c r="J68" i="67" s="1"/>
  <c r="J65" i="68" s="1"/>
  <c r="I69" i="67"/>
  <c r="I73" i="66"/>
  <c r="I61" i="64"/>
  <c r="I67" i="75"/>
  <c r="I77" i="70"/>
  <c r="I66" i="68"/>
  <c r="H73" i="66"/>
  <c r="H69" i="67"/>
  <c r="H61" i="64"/>
  <c r="H68" i="64" s="1"/>
  <c r="P68" i="64" s="1"/>
  <c r="H67" i="75"/>
  <c r="H77" i="70"/>
  <c r="H85" i="70" s="1"/>
  <c r="P85" i="70" s="1"/>
  <c r="H66" i="68"/>
  <c r="H66" i="75"/>
  <c r="H59" i="63"/>
  <c r="H60" i="64" s="1"/>
  <c r="H72" i="66" s="1"/>
  <c r="H68" i="67" s="1"/>
  <c r="H65" i="68" s="1"/>
  <c r="H81" i="71" s="1"/>
  <c r="H66" i="72" s="1"/>
  <c r="M66" i="75"/>
  <c r="M59" i="63"/>
  <c r="M60" i="64" s="1"/>
  <c r="M72" i="66" s="1"/>
  <c r="M68" i="67" s="1"/>
  <c r="M65" i="68" s="1"/>
  <c r="M81" i="71" s="1"/>
  <c r="M66" i="72" s="1"/>
  <c r="K65" i="73" s="1"/>
  <c r="N66" i="75"/>
  <c r="N59" i="63"/>
  <c r="N60" i="64" s="1"/>
  <c r="N72" i="66" s="1"/>
  <c r="N68" i="67" s="1"/>
  <c r="N65" i="68" s="1"/>
  <c r="N81" i="71" s="1"/>
  <c r="N66" i="72" s="1"/>
  <c r="F84" i="25"/>
  <c r="F83" i="25"/>
  <c r="I84" i="25"/>
  <c r="I83" i="25"/>
  <c r="H83" i="25"/>
  <c r="H32" i="25" s="1"/>
  <c r="H84" i="25"/>
  <c r="O92" i="25"/>
  <c r="O95" i="25" s="1"/>
  <c r="F93" i="25"/>
  <c r="F47" i="25" s="1"/>
  <c r="N84" i="25"/>
  <c r="N83" i="25"/>
  <c r="N76" i="25" s="1"/>
  <c r="B83" i="25"/>
  <c r="B84" i="25"/>
  <c r="O83" i="25"/>
  <c r="O84" i="25"/>
  <c r="J84" i="25"/>
  <c r="J83" i="25"/>
  <c r="E84" i="25"/>
  <c r="E83" i="25"/>
  <c r="M84" i="25"/>
  <c r="M83" i="25"/>
  <c r="C84" i="25"/>
  <c r="C83" i="25"/>
  <c r="C76" i="25" s="1"/>
  <c r="K83" i="25"/>
  <c r="K84" i="25"/>
  <c r="D83" i="25"/>
  <c r="D32" i="25" s="1"/>
  <c r="P32" i="25" s="1"/>
  <c r="D84" i="25"/>
  <c r="L83" i="25"/>
  <c r="L84" i="25"/>
  <c r="H94" i="25"/>
  <c r="H75" i="25"/>
  <c r="H79" i="62" s="1"/>
  <c r="H84" i="50" s="1"/>
  <c r="G83" i="25"/>
  <c r="G84" i="25"/>
  <c r="E92" i="25"/>
  <c r="E95" i="25" s="1"/>
  <c r="J93" i="25"/>
  <c r="P134" i="25"/>
  <c r="L93" i="25"/>
  <c r="L61" i="25" s="1"/>
  <c r="G136" i="25"/>
  <c r="G93" i="25" s="1"/>
  <c r="G61" i="25" s="1"/>
  <c r="G135" i="25"/>
  <c r="G92" i="25" s="1"/>
  <c r="H115" i="25"/>
  <c r="H127" i="62" s="1"/>
  <c r="H124" i="50" s="1"/>
  <c r="L124" i="50"/>
  <c r="F114" i="25"/>
  <c r="F126" i="62" s="1"/>
  <c r="M124" i="50"/>
  <c r="N124" i="50"/>
  <c r="I115" i="25"/>
  <c r="I127" i="62" s="1"/>
  <c r="I124" i="50" s="1"/>
  <c r="K115" i="25"/>
  <c r="K127" i="62" s="1"/>
  <c r="K124" i="50" s="1"/>
  <c r="P74" i="25"/>
  <c r="J101" i="62"/>
  <c r="P101" i="62" s="1"/>
  <c r="J95" i="25"/>
  <c r="B40" i="25"/>
  <c r="B51" i="25" s="1"/>
  <c r="H40" i="25"/>
  <c r="H51" i="25" s="1"/>
  <c r="C40" i="25"/>
  <c r="C51" i="25" s="1"/>
  <c r="I60" i="63"/>
  <c r="I77" i="50"/>
  <c r="H77" i="50"/>
  <c r="H85" i="50" s="1"/>
  <c r="H60" i="63"/>
  <c r="H67" i="63" s="1"/>
  <c r="J124" i="50"/>
  <c r="E40" i="25"/>
  <c r="E51" i="25" s="1"/>
  <c r="I72" i="62"/>
  <c r="I69" i="25"/>
  <c r="H72" i="62"/>
  <c r="H80" i="62" s="1"/>
  <c r="H69" i="25"/>
  <c r="H76" i="25" s="1"/>
  <c r="N61" i="25"/>
  <c r="N47" i="25"/>
  <c r="I61" i="25"/>
  <c r="I47" i="25"/>
  <c r="B61" i="25"/>
  <c r="B47" i="25"/>
  <c r="O61" i="25"/>
  <c r="O47" i="25"/>
  <c r="H47" i="25"/>
  <c r="J61" i="25"/>
  <c r="J47" i="25"/>
  <c r="E61" i="25"/>
  <c r="E47" i="25"/>
  <c r="M61" i="25"/>
  <c r="M47" i="25"/>
  <c r="C61" i="25"/>
  <c r="C47" i="25"/>
  <c r="K61" i="25"/>
  <c r="K47" i="25"/>
  <c r="D61" i="25"/>
  <c r="D47" i="25"/>
  <c r="J60" i="25"/>
  <c r="J62" i="25"/>
  <c r="J46" i="25"/>
  <c r="J48" i="25"/>
  <c r="E46" i="25"/>
  <c r="E60" i="25"/>
  <c r="E62" i="25"/>
  <c r="E48" i="25"/>
  <c r="C48" i="25"/>
  <c r="C46" i="25"/>
  <c r="C60" i="25"/>
  <c r="C62" i="25"/>
  <c r="K48" i="25"/>
  <c r="K46" i="25"/>
  <c r="K60" i="25"/>
  <c r="K62" i="25"/>
  <c r="D60" i="25"/>
  <c r="D62" i="25"/>
  <c r="D46" i="25"/>
  <c r="D48" i="25"/>
  <c r="L60" i="25"/>
  <c r="L62" i="25"/>
  <c r="L46" i="25"/>
  <c r="L48" i="25"/>
  <c r="F60" i="25"/>
  <c r="F62" i="25"/>
  <c r="F48" i="25"/>
  <c r="F46" i="25"/>
  <c r="N48" i="25"/>
  <c r="N46" i="25"/>
  <c r="N60" i="25"/>
  <c r="N62" i="25"/>
  <c r="I46" i="25"/>
  <c r="I60" i="25"/>
  <c r="I62" i="25"/>
  <c r="I48" i="25"/>
  <c r="C124" i="50"/>
  <c r="C87" i="25"/>
  <c r="C64" i="25" s="1"/>
  <c r="F87" i="25"/>
  <c r="F64" i="25" s="1"/>
  <c r="B87" i="25"/>
  <c r="B64" i="25" s="1"/>
  <c r="H88" i="25"/>
  <c r="H52" i="25" s="1"/>
  <c r="H87" i="25"/>
  <c r="H64" i="25" s="1"/>
  <c r="G53" i="25"/>
  <c r="E124" i="50"/>
  <c r="E87" i="25"/>
  <c r="E64" i="25" s="1"/>
  <c r="D124" i="50"/>
  <c r="K63" i="25"/>
  <c r="N63" i="25"/>
  <c r="E63" i="25"/>
  <c r="F63" i="25"/>
  <c r="C63" i="25"/>
  <c r="D63" i="25"/>
  <c r="J40" i="25"/>
  <c r="J51" i="25" s="1"/>
  <c r="J113" i="25"/>
  <c r="J112" i="25"/>
  <c r="M40" i="25"/>
  <c r="M51" i="25" s="1"/>
  <c r="M113" i="25"/>
  <c r="M125" i="62" s="1"/>
  <c r="M122" i="50" s="1"/>
  <c r="M112" i="25"/>
  <c r="M124" i="62" s="1"/>
  <c r="M121" i="50" s="1"/>
  <c r="K40" i="25"/>
  <c r="K51" i="25" s="1"/>
  <c r="K113" i="25"/>
  <c r="K125" i="62" s="1"/>
  <c r="K122" i="50" s="1"/>
  <c r="K112" i="25"/>
  <c r="K124" i="62" s="1"/>
  <c r="K121" i="50" s="1"/>
  <c r="L40" i="25"/>
  <c r="L51" i="25" s="1"/>
  <c r="L112" i="25"/>
  <c r="L124" i="62" s="1"/>
  <c r="L121" i="50" s="1"/>
  <c r="L113" i="25"/>
  <c r="L125" i="62" s="1"/>
  <c r="L122" i="50" s="1"/>
  <c r="B112" i="25"/>
  <c r="B124" i="62" s="1"/>
  <c r="B113" i="25"/>
  <c r="B125" i="62" s="1"/>
  <c r="H113" i="25"/>
  <c r="H125" i="62" s="1"/>
  <c r="H122" i="50" s="1"/>
  <c r="H112" i="25"/>
  <c r="H124" i="62" s="1"/>
  <c r="H121" i="50" s="1"/>
  <c r="E113" i="25"/>
  <c r="E125" i="62" s="1"/>
  <c r="E122" i="50" s="1"/>
  <c r="E112" i="25"/>
  <c r="E124" i="62" s="1"/>
  <c r="E121" i="50" s="1"/>
  <c r="C113" i="25"/>
  <c r="C125" i="62" s="1"/>
  <c r="C122" i="50" s="1"/>
  <c r="C112" i="25"/>
  <c r="C124" i="62" s="1"/>
  <c r="C121" i="50" s="1"/>
  <c r="D113" i="25"/>
  <c r="D125" i="62" s="1"/>
  <c r="D122" i="50" s="1"/>
  <c r="D112" i="25"/>
  <c r="D124" i="62" s="1"/>
  <c r="D121" i="50" s="1"/>
  <c r="F112" i="25"/>
  <c r="F124" i="62" s="1"/>
  <c r="F121" i="50" s="1"/>
  <c r="F113" i="25"/>
  <c r="F125" i="62" s="1"/>
  <c r="F122" i="50" s="1"/>
  <c r="N40" i="25"/>
  <c r="N51" i="25" s="1"/>
  <c r="N113" i="25"/>
  <c r="N125" i="62" s="1"/>
  <c r="N122" i="50" s="1"/>
  <c r="N112" i="25"/>
  <c r="N124" i="62" s="1"/>
  <c r="N121" i="50" s="1"/>
  <c r="K70" i="74"/>
  <c r="F70" i="74"/>
  <c r="F52" i="25"/>
  <c r="I40" i="25"/>
  <c r="I51" i="25" s="1"/>
  <c r="G52" i="25"/>
  <c r="O40" i="25"/>
  <c r="O51" i="25" s="1"/>
  <c r="E52" i="25"/>
  <c r="P80" i="25"/>
  <c r="C52" i="25"/>
  <c r="B52" i="25"/>
  <c r="D43" i="1"/>
  <c r="E41" i="1"/>
  <c r="E45" i="1" s="1"/>
  <c r="F43" i="1"/>
  <c r="G43" i="1"/>
  <c r="H41" i="1"/>
  <c r="J43" i="1"/>
  <c r="K41" i="1"/>
  <c r="K45" i="1" s="1"/>
  <c r="N41" i="1"/>
  <c r="N45" i="1" s="1"/>
  <c r="P41" i="1"/>
  <c r="C43" i="1"/>
  <c r="D88" i="74" l="1"/>
  <c r="B60" i="25"/>
  <c r="M48" i="25"/>
  <c r="B63" i="25"/>
  <c r="M63" i="25"/>
  <c r="O63" i="25"/>
  <c r="O62" i="25"/>
  <c r="O48" i="25"/>
  <c r="B62" i="25"/>
  <c r="M46" i="25"/>
  <c r="B46" i="25"/>
  <c r="M62" i="25"/>
  <c r="C127" i="75"/>
  <c r="C104" i="63"/>
  <c r="C108" i="64" s="1"/>
  <c r="C139" i="66" s="1"/>
  <c r="C127" i="67" s="1"/>
  <c r="C117" i="68" s="1"/>
  <c r="F39" i="74"/>
  <c r="B48" i="25"/>
  <c r="M60" i="25"/>
  <c r="P75" i="25"/>
  <c r="J17" i="75"/>
  <c r="M17" i="75"/>
  <c r="D17" i="75"/>
  <c r="O17" i="75"/>
  <c r="G82" i="71"/>
  <c r="G90" i="71" s="1"/>
  <c r="G17" i="75"/>
  <c r="D102" i="63"/>
  <c r="D106" i="64" s="1"/>
  <c r="D137" i="66" s="1"/>
  <c r="D32" i="66" s="1"/>
  <c r="D116" i="66" s="1"/>
  <c r="D125" i="75"/>
  <c r="M102" i="63"/>
  <c r="M106" i="64" s="1"/>
  <c r="M137" i="66" s="1"/>
  <c r="M125" i="67" s="1"/>
  <c r="M115" i="68" s="1"/>
  <c r="M123" i="72" s="1"/>
  <c r="J104" i="74" s="1"/>
  <c r="M125" i="75"/>
  <c r="P67" i="75"/>
  <c r="H74" i="75"/>
  <c r="P74" i="75" s="1"/>
  <c r="E103" i="63"/>
  <c r="E107" i="64" s="1"/>
  <c r="E138" i="66" s="1"/>
  <c r="E126" i="67" s="1"/>
  <c r="E116" i="68" s="1"/>
  <c r="E124" i="72" s="1"/>
  <c r="E126" i="75"/>
  <c r="M103" i="63"/>
  <c r="M107" i="64" s="1"/>
  <c r="M138" i="66" s="1"/>
  <c r="M126" i="67" s="1"/>
  <c r="M116" i="68" s="1"/>
  <c r="M124" i="72" s="1"/>
  <c r="K121" i="73" s="1"/>
  <c r="M126" i="75"/>
  <c r="L47" i="25"/>
  <c r="F61" i="25"/>
  <c r="H105" i="63"/>
  <c r="H109" i="64" s="1"/>
  <c r="H140" i="66" s="1"/>
  <c r="H128" i="67" s="1"/>
  <c r="H118" i="68" s="1"/>
  <c r="H126" i="72" s="1"/>
  <c r="H123" i="73" s="1"/>
  <c r="H128" i="75"/>
  <c r="N103" i="63"/>
  <c r="N107" i="64" s="1"/>
  <c r="N138" i="66" s="1"/>
  <c r="N126" i="67" s="1"/>
  <c r="N116" i="68" s="1"/>
  <c r="N124" i="72" s="1"/>
  <c r="N126" i="75"/>
  <c r="E105" i="63"/>
  <c r="E109" i="64" s="1"/>
  <c r="E140" i="66" s="1"/>
  <c r="E128" i="67" s="1"/>
  <c r="E118" i="68" s="1"/>
  <c r="E126" i="72" s="1"/>
  <c r="E123" i="73" s="1"/>
  <c r="E128" i="75"/>
  <c r="D103" i="63"/>
  <c r="D107" i="64" s="1"/>
  <c r="D138" i="66" s="1"/>
  <c r="D126" i="75"/>
  <c r="N105" i="63"/>
  <c r="N109" i="64" s="1"/>
  <c r="N140" i="66" s="1"/>
  <c r="N128" i="67" s="1"/>
  <c r="N118" i="68" s="1"/>
  <c r="N126" i="72" s="1"/>
  <c r="N128" i="75"/>
  <c r="F103" i="63"/>
  <c r="F107" i="64" s="1"/>
  <c r="F138" i="66" s="1"/>
  <c r="F126" i="67" s="1"/>
  <c r="F116" i="68" s="1"/>
  <c r="F124" i="72" s="1"/>
  <c r="E121" i="73" s="1"/>
  <c r="F126" i="75"/>
  <c r="H102" i="63"/>
  <c r="H106" i="64" s="1"/>
  <c r="H137" i="66" s="1"/>
  <c r="H125" i="67" s="1"/>
  <c r="H115" i="68" s="1"/>
  <c r="H123" i="72" s="1"/>
  <c r="H125" i="75"/>
  <c r="L103" i="63"/>
  <c r="L107" i="64" s="1"/>
  <c r="L138" i="66" s="1"/>
  <c r="L126" i="67" s="1"/>
  <c r="L116" i="68" s="1"/>
  <c r="L124" i="72" s="1"/>
  <c r="J121" i="73" s="1"/>
  <c r="L126" i="75"/>
  <c r="D105" i="63"/>
  <c r="D109" i="64" s="1"/>
  <c r="D140" i="66" s="1"/>
  <c r="D128" i="75"/>
  <c r="O60" i="25"/>
  <c r="K105" i="63"/>
  <c r="K109" i="64" s="1"/>
  <c r="K140" i="66" s="1"/>
  <c r="K128" i="67" s="1"/>
  <c r="K118" i="68" s="1"/>
  <c r="K128" i="75"/>
  <c r="M105" i="63"/>
  <c r="M109" i="64" s="1"/>
  <c r="M140" i="66" s="1"/>
  <c r="M128" i="67" s="1"/>
  <c r="M118" i="68" s="1"/>
  <c r="M126" i="72" s="1"/>
  <c r="M128" i="75"/>
  <c r="K71" i="74"/>
  <c r="J33" i="74"/>
  <c r="E102" i="63"/>
  <c r="E106" i="64" s="1"/>
  <c r="E137" i="66" s="1"/>
  <c r="E125" i="67" s="1"/>
  <c r="E115" i="68" s="1"/>
  <c r="D120" i="73" s="1"/>
  <c r="D113" i="73" s="1"/>
  <c r="M113" i="73" s="1"/>
  <c r="E125" i="75"/>
  <c r="C105" i="63"/>
  <c r="C109" i="64" s="1"/>
  <c r="C140" i="66" s="1"/>
  <c r="C128" i="67" s="1"/>
  <c r="C118" i="68" s="1"/>
  <c r="C126" i="72" s="1"/>
  <c r="C123" i="73" s="1"/>
  <c r="C121" i="74" s="1"/>
  <c r="C128" i="75"/>
  <c r="L105" i="63"/>
  <c r="L109" i="64" s="1"/>
  <c r="L140" i="66" s="1"/>
  <c r="L128" i="67" s="1"/>
  <c r="L118" i="68" s="1"/>
  <c r="L128" i="75"/>
  <c r="K102" i="63"/>
  <c r="K106" i="64" s="1"/>
  <c r="K137" i="66" s="1"/>
  <c r="K125" i="67" s="1"/>
  <c r="K115" i="68" s="1"/>
  <c r="K123" i="72" s="1"/>
  <c r="I120" i="73" s="1"/>
  <c r="K125" i="75"/>
  <c r="C102" i="63"/>
  <c r="C106" i="64" s="1"/>
  <c r="C137" i="66" s="1"/>
  <c r="C125" i="67" s="1"/>
  <c r="C115" i="68" s="1"/>
  <c r="C123" i="72" s="1"/>
  <c r="C125" i="75"/>
  <c r="K103" i="63"/>
  <c r="K107" i="64" s="1"/>
  <c r="K138" i="66" s="1"/>
  <c r="K126" i="67" s="1"/>
  <c r="K116" i="68" s="1"/>
  <c r="K124" i="72" s="1"/>
  <c r="I121" i="73" s="1"/>
  <c r="K126" i="75"/>
  <c r="N102" i="63"/>
  <c r="N106" i="64" s="1"/>
  <c r="N137" i="66" s="1"/>
  <c r="N125" i="67" s="1"/>
  <c r="N115" i="68" s="1"/>
  <c r="N123" i="72" s="1"/>
  <c r="N125" i="75"/>
  <c r="F102" i="63"/>
  <c r="F106" i="64" s="1"/>
  <c r="F137" i="66" s="1"/>
  <c r="F125" i="67" s="1"/>
  <c r="F115" i="68" s="1"/>
  <c r="F123" i="72" s="1"/>
  <c r="E120" i="73" s="1"/>
  <c r="F125" i="75"/>
  <c r="C103" i="63"/>
  <c r="C107" i="64" s="1"/>
  <c r="C138" i="66" s="1"/>
  <c r="C126" i="67" s="1"/>
  <c r="C116" i="68" s="1"/>
  <c r="C124" i="72" s="1"/>
  <c r="C126" i="75"/>
  <c r="H103" i="63"/>
  <c r="H107" i="64" s="1"/>
  <c r="H138" i="66" s="1"/>
  <c r="H126" i="67" s="1"/>
  <c r="H116" i="68" s="1"/>
  <c r="H124" i="72" s="1"/>
  <c r="H126" i="75"/>
  <c r="L102" i="63"/>
  <c r="L106" i="64" s="1"/>
  <c r="L137" i="66" s="1"/>
  <c r="L125" i="67" s="1"/>
  <c r="L115" i="68" s="1"/>
  <c r="L123" i="72" s="1"/>
  <c r="J120" i="73" s="1"/>
  <c r="L125" i="75"/>
  <c r="O46" i="25"/>
  <c r="J105" i="63"/>
  <c r="J109" i="64" s="1"/>
  <c r="J140" i="66" s="1"/>
  <c r="J128" i="67" s="1"/>
  <c r="J118" i="68" s="1"/>
  <c r="J126" i="72" s="1"/>
  <c r="J128" i="75"/>
  <c r="I105" i="63"/>
  <c r="I109" i="64" s="1"/>
  <c r="I140" i="66" s="1"/>
  <c r="I128" i="67" s="1"/>
  <c r="I118" i="68" s="1"/>
  <c r="I126" i="72" s="1"/>
  <c r="I128" i="75"/>
  <c r="D122" i="66"/>
  <c r="J103" i="62"/>
  <c r="P103" i="62" s="1"/>
  <c r="J107" i="62"/>
  <c r="P107" i="62" s="1"/>
  <c r="P135" i="25"/>
  <c r="G47" i="25"/>
  <c r="P136" i="25"/>
  <c r="H30" i="25"/>
  <c r="H29" i="25"/>
  <c r="H31" i="25"/>
  <c r="H26" i="25"/>
  <c r="H25" i="25"/>
  <c r="H24" i="25"/>
  <c r="G29" i="25"/>
  <c r="G31" i="25"/>
  <c r="G30" i="25"/>
  <c r="G25" i="25"/>
  <c r="G26" i="25"/>
  <c r="L71" i="62"/>
  <c r="L76" i="50" s="1"/>
  <c r="K68" i="25"/>
  <c r="K71" i="62" s="1"/>
  <c r="K76" i="50" s="1"/>
  <c r="M30" i="25"/>
  <c r="M31" i="25"/>
  <c r="M29" i="25"/>
  <c r="M25" i="25"/>
  <c r="M26" i="25"/>
  <c r="M24" i="25"/>
  <c r="J31" i="25"/>
  <c r="J29" i="25"/>
  <c r="J30" i="25"/>
  <c r="J25" i="25"/>
  <c r="J27" i="62" s="1"/>
  <c r="P27" i="62" s="1"/>
  <c r="J26" i="25"/>
  <c r="J29" i="62" s="1"/>
  <c r="P29" i="62" s="1"/>
  <c r="J24" i="25"/>
  <c r="O29" i="25"/>
  <c r="O31" i="25"/>
  <c r="O30" i="25"/>
  <c r="O25" i="25"/>
  <c r="O26" i="25"/>
  <c r="B68" i="25"/>
  <c r="B71" i="62" s="1"/>
  <c r="B76" i="50" s="1"/>
  <c r="C68" i="25"/>
  <c r="C71" i="62" s="1"/>
  <c r="N31" i="25"/>
  <c r="N30" i="25"/>
  <c r="N29" i="25"/>
  <c r="N26" i="25"/>
  <c r="N25" i="25"/>
  <c r="N24" i="25"/>
  <c r="D30" i="25"/>
  <c r="D31" i="25"/>
  <c r="D29" i="25"/>
  <c r="D25" i="25"/>
  <c r="D26" i="25"/>
  <c r="D24" i="25"/>
  <c r="C31" i="25"/>
  <c r="C30" i="25"/>
  <c r="C29" i="25"/>
  <c r="C26" i="25"/>
  <c r="C25" i="25"/>
  <c r="C24" i="25"/>
  <c r="E30" i="25"/>
  <c r="E31" i="25"/>
  <c r="E29" i="25"/>
  <c r="E26" i="25"/>
  <c r="E25" i="25"/>
  <c r="E24" i="25"/>
  <c r="B31" i="25"/>
  <c r="B25" i="25"/>
  <c r="B26" i="25"/>
  <c r="B24" i="25"/>
  <c r="I30" i="25"/>
  <c r="I29" i="25"/>
  <c r="I31" i="25"/>
  <c r="I25" i="25"/>
  <c r="I26" i="25"/>
  <c r="I24" i="25"/>
  <c r="F31" i="25"/>
  <c r="F30" i="25"/>
  <c r="F29" i="25"/>
  <c r="F26" i="25"/>
  <c r="F25" i="25"/>
  <c r="F24" i="25"/>
  <c r="L30" i="25"/>
  <c r="L29" i="25"/>
  <c r="L31" i="25"/>
  <c r="L25" i="25"/>
  <c r="L26" i="25"/>
  <c r="L24" i="25"/>
  <c r="K29" i="25"/>
  <c r="K31" i="25"/>
  <c r="K30" i="25"/>
  <c r="K26" i="25"/>
  <c r="K25" i="25"/>
  <c r="K24" i="25"/>
  <c r="P84" i="50"/>
  <c r="P79" i="62"/>
  <c r="B29" i="25"/>
  <c r="P115" i="25"/>
  <c r="B36" i="25"/>
  <c r="B28" i="25"/>
  <c r="B30" i="25"/>
  <c r="B35" i="25"/>
  <c r="I35" i="25"/>
  <c r="I36" i="25"/>
  <c r="I28" i="25"/>
  <c r="F35" i="25"/>
  <c r="F36" i="25"/>
  <c r="F28" i="25"/>
  <c r="J124" i="62"/>
  <c r="J121" i="50" s="1"/>
  <c r="P112" i="25"/>
  <c r="O36" i="25"/>
  <c r="O28" i="25"/>
  <c r="O35" i="25"/>
  <c r="D36" i="25"/>
  <c r="D28" i="25"/>
  <c r="D35" i="25"/>
  <c r="C36" i="25"/>
  <c r="C28" i="25"/>
  <c r="C35" i="25"/>
  <c r="E35" i="25"/>
  <c r="E36" i="25"/>
  <c r="E28" i="25"/>
  <c r="P126" i="62"/>
  <c r="P114" i="25"/>
  <c r="J125" i="62"/>
  <c r="J122" i="50" s="1"/>
  <c r="P113" i="25"/>
  <c r="N35" i="25"/>
  <c r="N28" i="25"/>
  <c r="N36" i="25"/>
  <c r="M36" i="25"/>
  <c r="M28" i="25"/>
  <c r="M35" i="25"/>
  <c r="J35" i="25"/>
  <c r="J36" i="25"/>
  <c r="J28" i="25"/>
  <c r="H36" i="25"/>
  <c r="H28" i="25"/>
  <c r="H35" i="25"/>
  <c r="G36" i="25"/>
  <c r="G28" i="25"/>
  <c r="G35" i="25"/>
  <c r="L36" i="25"/>
  <c r="L28" i="25"/>
  <c r="L35" i="25"/>
  <c r="K36" i="25"/>
  <c r="K28" i="25"/>
  <c r="K35" i="25"/>
  <c r="P72" i="62"/>
  <c r="F123" i="50"/>
  <c r="B122" i="50"/>
  <c r="B126" i="75" s="1"/>
  <c r="B124" i="50"/>
  <c r="P127" i="62"/>
  <c r="B121" i="50"/>
  <c r="B125" i="75" s="1"/>
  <c r="H81" i="66"/>
  <c r="P81" i="66" s="1"/>
  <c r="G95" i="25"/>
  <c r="H95" i="25"/>
  <c r="L63" i="25"/>
  <c r="H50" i="25"/>
  <c r="J96" i="25"/>
  <c r="B50" i="25"/>
  <c r="O67" i="72"/>
  <c r="L66" i="73" s="1"/>
  <c r="G67" i="72"/>
  <c r="F66" i="73" s="1"/>
  <c r="F64" i="74" s="1"/>
  <c r="F73" i="74" s="1"/>
  <c r="M67" i="72"/>
  <c r="K66" i="73" s="1"/>
  <c r="K64" i="74" s="1"/>
  <c r="J67" i="72"/>
  <c r="H66" i="73" s="1"/>
  <c r="H64" i="74" s="1"/>
  <c r="H73" i="74" s="1"/>
  <c r="D67" i="72"/>
  <c r="C66" i="73" s="1"/>
  <c r="G74" i="73"/>
  <c r="I75" i="72"/>
  <c r="C21" i="73"/>
  <c r="C38" i="73" s="1"/>
  <c r="C19" i="74"/>
  <c r="C37" i="74" s="1"/>
  <c r="D19" i="72"/>
  <c r="D40" i="72" s="1"/>
  <c r="D18" i="71"/>
  <c r="D48" i="71" s="1"/>
  <c r="D131" i="71" s="1"/>
  <c r="D61" i="70"/>
  <c r="D20" i="67"/>
  <c r="H21" i="73"/>
  <c r="H38" i="73" s="1"/>
  <c r="G19" i="74"/>
  <c r="G37" i="74" s="1"/>
  <c r="G48" i="74" s="1"/>
  <c r="J19" i="72"/>
  <c r="J40" i="72" s="1"/>
  <c r="J18" i="71"/>
  <c r="J48" i="71" s="1"/>
  <c r="J131" i="71" s="1"/>
  <c r="J17" i="68"/>
  <c r="J18" i="70"/>
  <c r="J43" i="70" s="1"/>
  <c r="J128" i="70" s="1"/>
  <c r="J134" i="70" s="1"/>
  <c r="J135" i="70" s="1"/>
  <c r="J20" i="67"/>
  <c r="E75" i="72"/>
  <c r="K19" i="74"/>
  <c r="K37" i="74" s="1"/>
  <c r="K48" i="74" s="1"/>
  <c r="L21" i="73"/>
  <c r="L38" i="73" s="1"/>
  <c r="O18" i="71"/>
  <c r="O48" i="71" s="1"/>
  <c r="O131" i="71" s="1"/>
  <c r="O19" i="72"/>
  <c r="O40" i="72" s="1"/>
  <c r="O17" i="68"/>
  <c r="O18" i="70"/>
  <c r="O43" i="70" s="1"/>
  <c r="O128" i="70" s="1"/>
  <c r="O134" i="70" s="1"/>
  <c r="O135" i="70" s="1"/>
  <c r="O20" i="67"/>
  <c r="E19" i="74"/>
  <c r="E37" i="74" s="1"/>
  <c r="E48" i="74" s="1"/>
  <c r="F21" i="73"/>
  <c r="F38" i="73" s="1"/>
  <c r="G18" i="71"/>
  <c r="G48" i="71" s="1"/>
  <c r="G131" i="71" s="1"/>
  <c r="G19" i="72"/>
  <c r="G40" i="72" s="1"/>
  <c r="G18" i="70"/>
  <c r="G17" i="68"/>
  <c r="G20" i="67"/>
  <c r="C75" i="72"/>
  <c r="K21" i="73"/>
  <c r="K38" i="73" s="1"/>
  <c r="J19" i="74"/>
  <c r="J37" i="74" s="1"/>
  <c r="J48" i="74" s="1"/>
  <c r="M18" i="71"/>
  <c r="M48" i="71" s="1"/>
  <c r="M131" i="71" s="1"/>
  <c r="M19" i="72"/>
  <c r="M40" i="72" s="1"/>
  <c r="M18" i="70"/>
  <c r="M43" i="70" s="1"/>
  <c r="M128" i="70" s="1"/>
  <c r="M134" i="70" s="1"/>
  <c r="M135" i="70" s="1"/>
  <c r="M17" i="68"/>
  <c r="M20" i="67"/>
  <c r="D73" i="74"/>
  <c r="F75" i="72"/>
  <c r="E74" i="73"/>
  <c r="G50" i="25"/>
  <c r="E50" i="25"/>
  <c r="C50" i="25"/>
  <c r="F50" i="25"/>
  <c r="P87" i="25"/>
  <c r="P52" i="25"/>
  <c r="P88" i="25"/>
  <c r="H18" i="71"/>
  <c r="H48" i="71" s="1"/>
  <c r="H131" i="71" s="1"/>
  <c r="H19" i="72"/>
  <c r="H40" i="72" s="1"/>
  <c r="H51" i="72" s="1"/>
  <c r="H18" i="70"/>
  <c r="H17" i="68"/>
  <c r="H20" i="67"/>
  <c r="M22" i="66"/>
  <c r="M20" i="64"/>
  <c r="G22" i="66"/>
  <c r="G20" i="64"/>
  <c r="J22" i="66"/>
  <c r="J20" i="64"/>
  <c r="O22" i="66"/>
  <c r="O20" i="64"/>
  <c r="N22" i="66"/>
  <c r="N20" i="64"/>
  <c r="H22" i="66"/>
  <c r="H20" i="64"/>
  <c r="D22" i="66"/>
  <c r="D20" i="64"/>
  <c r="D17" i="25"/>
  <c r="D17" i="63"/>
  <c r="D17" i="62"/>
  <c r="D17" i="50"/>
  <c r="O17" i="25"/>
  <c r="O17" i="63"/>
  <c r="O17" i="62"/>
  <c r="O17" i="50"/>
  <c r="K17" i="25"/>
  <c r="K17" i="63"/>
  <c r="K17" i="62"/>
  <c r="K17" i="50"/>
  <c r="G17" i="25"/>
  <c r="G17" i="63"/>
  <c r="G17" i="62"/>
  <c r="G17" i="50"/>
  <c r="M17" i="25"/>
  <c r="M17" i="63"/>
  <c r="M17" i="62"/>
  <c r="M17" i="50"/>
  <c r="L17" i="25"/>
  <c r="L17" i="63"/>
  <c r="L17" i="62"/>
  <c r="L17" i="50"/>
  <c r="H17" i="25"/>
  <c r="H17" i="63"/>
  <c r="H17" i="62"/>
  <c r="H17" i="50"/>
  <c r="N17" i="25"/>
  <c r="N17" i="63"/>
  <c r="N17" i="62"/>
  <c r="N17" i="50"/>
  <c r="J17" i="25"/>
  <c r="J17" i="63"/>
  <c r="J17" i="62"/>
  <c r="J17" i="50"/>
  <c r="P53" i="25"/>
  <c r="H43" i="1"/>
  <c r="O43" i="1"/>
  <c r="K43" i="1"/>
  <c r="P43" i="1"/>
  <c r="N43" i="1"/>
  <c r="M43" i="1"/>
  <c r="I43" i="1"/>
  <c r="E43" i="1"/>
  <c r="K120" i="73" l="1"/>
  <c r="J105" i="74"/>
  <c r="E123" i="72"/>
  <c r="P32" i="66"/>
  <c r="D121" i="73"/>
  <c r="D114" i="73" s="1"/>
  <c r="M114" i="73" s="1"/>
  <c r="L66" i="75"/>
  <c r="L59" i="63"/>
  <c r="L60" i="64" s="1"/>
  <c r="L72" i="66" s="1"/>
  <c r="L68" i="67" s="1"/>
  <c r="L65" i="68" s="1"/>
  <c r="L81" i="71" s="1"/>
  <c r="L66" i="72" s="1"/>
  <c r="J65" i="73" s="1"/>
  <c r="J102" i="63"/>
  <c r="J106" i="64" s="1"/>
  <c r="J137" i="66" s="1"/>
  <c r="J125" i="67" s="1"/>
  <c r="J115" i="68" s="1"/>
  <c r="J123" i="72" s="1"/>
  <c r="H120" i="73" s="1"/>
  <c r="J125" i="75"/>
  <c r="P125" i="75" s="1"/>
  <c r="B66" i="75"/>
  <c r="B59" i="63"/>
  <c r="B60" i="64" s="1"/>
  <c r="B72" i="66" s="1"/>
  <c r="B68" i="67" s="1"/>
  <c r="B65" i="68" s="1"/>
  <c r="P123" i="50"/>
  <c r="F127" i="75"/>
  <c r="P127" i="75" s="1"/>
  <c r="J103" i="63"/>
  <c r="J107" i="64" s="1"/>
  <c r="J138" i="66" s="1"/>
  <c r="J126" i="67" s="1"/>
  <c r="J116" i="68" s="1"/>
  <c r="J124" i="72" s="1"/>
  <c r="H121" i="73" s="1"/>
  <c r="J126" i="75"/>
  <c r="P126" i="75" s="1"/>
  <c r="B105" i="63"/>
  <c r="B109" i="64" s="1"/>
  <c r="B128" i="75"/>
  <c r="P128" i="75" s="1"/>
  <c r="N91" i="25"/>
  <c r="N100" i="25" s="1"/>
  <c r="N112" i="62" s="1"/>
  <c r="N109" i="50" s="1"/>
  <c r="C76" i="50"/>
  <c r="K66" i="75"/>
  <c r="K59" i="63"/>
  <c r="K60" i="64" s="1"/>
  <c r="K72" i="66" s="1"/>
  <c r="K68" i="67" s="1"/>
  <c r="K65" i="68" s="1"/>
  <c r="K81" i="71" s="1"/>
  <c r="K66" i="72" s="1"/>
  <c r="I65" i="73" s="1"/>
  <c r="P29" i="25"/>
  <c r="C91" i="25"/>
  <c r="C100" i="25" s="1"/>
  <c r="C112" i="62" s="1"/>
  <c r="C109" i="50" s="1"/>
  <c r="D91" i="25"/>
  <c r="D100" i="25" s="1"/>
  <c r="P71" i="62"/>
  <c r="E91" i="25"/>
  <c r="E97" i="25" s="1"/>
  <c r="M91" i="25"/>
  <c r="M100" i="25" s="1"/>
  <c r="M112" i="62" s="1"/>
  <c r="M109" i="50" s="1"/>
  <c r="L91" i="25"/>
  <c r="L100" i="25" s="1"/>
  <c r="L112" i="62" s="1"/>
  <c r="L109" i="50" s="1"/>
  <c r="B91" i="25"/>
  <c r="K91" i="25"/>
  <c r="K100" i="25" s="1"/>
  <c r="K112" i="62" s="1"/>
  <c r="K109" i="50" s="1"/>
  <c r="I91" i="25"/>
  <c r="I97" i="25" s="1"/>
  <c r="F91" i="25"/>
  <c r="F97" i="25" s="1"/>
  <c r="G91" i="25"/>
  <c r="G100" i="25" s="1"/>
  <c r="J91" i="25"/>
  <c r="J97" i="25" s="1"/>
  <c r="O91" i="25"/>
  <c r="O97" i="25" s="1"/>
  <c r="H91" i="25"/>
  <c r="H97" i="25" s="1"/>
  <c r="I42" i="25"/>
  <c r="B42" i="25"/>
  <c r="G42" i="25"/>
  <c r="F90" i="25"/>
  <c r="F42" i="25"/>
  <c r="H42" i="25"/>
  <c r="J42" i="25"/>
  <c r="M42" i="25"/>
  <c r="N42" i="25"/>
  <c r="E42" i="25"/>
  <c r="C42" i="25"/>
  <c r="D42" i="25"/>
  <c r="K90" i="25"/>
  <c r="K42" i="25"/>
  <c r="L90" i="25"/>
  <c r="L42" i="25"/>
  <c r="O42" i="25"/>
  <c r="F104" i="63"/>
  <c r="P104" i="63" s="1"/>
  <c r="P122" i="50"/>
  <c r="B90" i="25"/>
  <c r="P124" i="62"/>
  <c r="P121" i="50"/>
  <c r="P125" i="62"/>
  <c r="I90" i="25"/>
  <c r="H90" i="25"/>
  <c r="J90" i="25"/>
  <c r="M90" i="25"/>
  <c r="N90" i="25"/>
  <c r="E90" i="25"/>
  <c r="C90" i="25"/>
  <c r="D90" i="25"/>
  <c r="O90" i="25"/>
  <c r="G90" i="25"/>
  <c r="P124" i="50"/>
  <c r="B103" i="63"/>
  <c r="B102" i="63"/>
  <c r="K107" i="50"/>
  <c r="K108" i="50" s="1"/>
  <c r="N53" i="50"/>
  <c r="J53" i="50"/>
  <c r="J107" i="50"/>
  <c r="J108" i="50" s="1"/>
  <c r="N107" i="50"/>
  <c r="N108" i="50" s="1"/>
  <c r="L53" i="50"/>
  <c r="L107" i="50"/>
  <c r="L108" i="50" s="1"/>
  <c r="M53" i="50"/>
  <c r="M107" i="50"/>
  <c r="M108" i="50" s="1"/>
  <c r="O53" i="50"/>
  <c r="D107" i="50"/>
  <c r="D108" i="50" s="1"/>
  <c r="I63" i="25"/>
  <c r="I95" i="25"/>
  <c r="P95" i="25" s="1"/>
  <c r="P68" i="25"/>
  <c r="J81" i="71"/>
  <c r="J66" i="72" s="1"/>
  <c r="H65" i="73" s="1"/>
  <c r="P93" i="25"/>
  <c r="H60" i="25"/>
  <c r="H48" i="25"/>
  <c r="H46" i="25"/>
  <c r="H62" i="25"/>
  <c r="G46" i="25"/>
  <c r="G62" i="25"/>
  <c r="G60" i="25"/>
  <c r="G48" i="25"/>
  <c r="G63" i="25"/>
  <c r="J51" i="72"/>
  <c r="J95" i="72"/>
  <c r="O51" i="72"/>
  <c r="O95" i="72"/>
  <c r="M51" i="72"/>
  <c r="M95" i="72"/>
  <c r="G51" i="72"/>
  <c r="G95" i="72"/>
  <c r="H123" i="66"/>
  <c r="D51" i="72"/>
  <c r="D95" i="72"/>
  <c r="C89" i="74"/>
  <c r="C48" i="74"/>
  <c r="H62" i="71"/>
  <c r="H137" i="71"/>
  <c r="H138" i="71" s="1"/>
  <c r="O62" i="71"/>
  <c r="O137" i="71"/>
  <c r="O138" i="71" s="1"/>
  <c r="D62" i="71"/>
  <c r="D137" i="71"/>
  <c r="D138" i="71" s="1"/>
  <c r="M62" i="71"/>
  <c r="M137" i="71"/>
  <c r="M138" i="71" s="1"/>
  <c r="G62" i="71"/>
  <c r="G137" i="71"/>
  <c r="G138" i="71" s="1"/>
  <c r="J62" i="71"/>
  <c r="J137" i="71"/>
  <c r="J138" i="71" s="1"/>
  <c r="J42" i="63"/>
  <c r="J88" i="63"/>
  <c r="J89" i="63" s="1"/>
  <c r="N42" i="63"/>
  <c r="N88" i="63"/>
  <c r="N89" i="63" s="1"/>
  <c r="H88" i="63"/>
  <c r="L42" i="63"/>
  <c r="L88" i="63"/>
  <c r="L89" i="63" s="1"/>
  <c r="M42" i="63"/>
  <c r="M88" i="63"/>
  <c r="M89" i="63" s="1"/>
  <c r="G88" i="63"/>
  <c r="G89" i="63" s="1"/>
  <c r="K42" i="63"/>
  <c r="K88" i="63"/>
  <c r="K89" i="63" s="1"/>
  <c r="O42" i="63"/>
  <c r="O88" i="63"/>
  <c r="D88" i="63"/>
  <c r="D89" i="63" s="1"/>
  <c r="E89" i="74"/>
  <c r="G89" i="74"/>
  <c r="J89" i="74"/>
  <c r="K89" i="74"/>
  <c r="L51" i="73"/>
  <c r="L98" i="73"/>
  <c r="H51" i="73"/>
  <c r="H98" i="73"/>
  <c r="F51" i="73"/>
  <c r="F98" i="73"/>
  <c r="K51" i="73"/>
  <c r="K98" i="73"/>
  <c r="C51" i="73"/>
  <c r="C98" i="73"/>
  <c r="C64" i="74"/>
  <c r="L64" i="74" s="1"/>
  <c r="M66" i="73"/>
  <c r="L75" i="72"/>
  <c r="J74" i="73"/>
  <c r="I73" i="74"/>
  <c r="O42" i="72"/>
  <c r="O94" i="72"/>
  <c r="J50" i="71"/>
  <c r="J130" i="71"/>
  <c r="D42" i="72"/>
  <c r="D94" i="72"/>
  <c r="M42" i="72"/>
  <c r="M94" i="72"/>
  <c r="G94" i="72"/>
  <c r="G42" i="72"/>
  <c r="O103" i="67"/>
  <c r="O43" i="67"/>
  <c r="O50" i="71"/>
  <c r="O130" i="71"/>
  <c r="J103" i="67"/>
  <c r="J43" i="67"/>
  <c r="J94" i="72"/>
  <c r="J42" i="72"/>
  <c r="D40" i="68"/>
  <c r="L37" i="74"/>
  <c r="K97" i="73"/>
  <c r="K41" i="73"/>
  <c r="E88" i="74"/>
  <c r="E39" i="74"/>
  <c r="D43" i="67"/>
  <c r="D103" i="67"/>
  <c r="K74" i="73"/>
  <c r="M75" i="72"/>
  <c r="J73" i="74"/>
  <c r="G75" i="72"/>
  <c r="E73" i="74"/>
  <c r="F74" i="73"/>
  <c r="M103" i="67"/>
  <c r="M43" i="67"/>
  <c r="M130" i="71"/>
  <c r="M50" i="71"/>
  <c r="G103" i="67"/>
  <c r="G43" i="67"/>
  <c r="G50" i="71"/>
  <c r="G130" i="71"/>
  <c r="L97" i="73"/>
  <c r="L41" i="73"/>
  <c r="M38" i="73"/>
  <c r="C74" i="73"/>
  <c r="O75" i="72"/>
  <c r="K73" i="74"/>
  <c r="L74" i="73"/>
  <c r="H75" i="72"/>
  <c r="G73" i="74"/>
  <c r="H74" i="73"/>
  <c r="J75" i="72"/>
  <c r="M93" i="68"/>
  <c r="M40" i="68"/>
  <c r="J39" i="74"/>
  <c r="J88" i="74"/>
  <c r="G40" i="68"/>
  <c r="G93" i="68"/>
  <c r="F97" i="73"/>
  <c r="F41" i="73"/>
  <c r="O93" i="68"/>
  <c r="O40" i="68"/>
  <c r="K88" i="74"/>
  <c r="K39" i="74"/>
  <c r="J93" i="68"/>
  <c r="J40" i="68"/>
  <c r="H97" i="73"/>
  <c r="H41" i="73"/>
  <c r="D50" i="71"/>
  <c r="D130" i="71"/>
  <c r="C31" i="72"/>
  <c r="C32" i="72"/>
  <c r="P32" i="72" s="1"/>
  <c r="C69" i="74"/>
  <c r="D70" i="74"/>
  <c r="G69" i="74"/>
  <c r="B69" i="74"/>
  <c r="H69" i="74"/>
  <c r="J69" i="74"/>
  <c r="D69" i="74"/>
  <c r="I69" i="74"/>
  <c r="P40" i="72"/>
  <c r="P48" i="71"/>
  <c r="N85" i="64"/>
  <c r="N91" i="64" s="1"/>
  <c r="N92" i="64" s="1"/>
  <c r="M85" i="64"/>
  <c r="M91" i="64" s="1"/>
  <c r="M92" i="64" s="1"/>
  <c r="O85" i="64"/>
  <c r="O91" i="64" s="1"/>
  <c r="O92" i="64" s="1"/>
  <c r="G85" i="64"/>
  <c r="G91" i="64" s="1"/>
  <c r="G92" i="64" s="1"/>
  <c r="D85" i="64"/>
  <c r="D91" i="64" s="1"/>
  <c r="D92" i="64" s="1"/>
  <c r="J85" i="64"/>
  <c r="J91" i="64" s="1"/>
  <c r="J92" i="64" s="1"/>
  <c r="H85" i="64"/>
  <c r="H91" i="64" s="1"/>
  <c r="H92" i="64" s="1"/>
  <c r="P43" i="70"/>
  <c r="P41" i="67"/>
  <c r="P38" i="68"/>
  <c r="G110" i="62"/>
  <c r="G111" i="62" s="1"/>
  <c r="G45" i="62"/>
  <c r="H45" i="62"/>
  <c r="J80" i="63"/>
  <c r="N80" i="63"/>
  <c r="H80" i="63"/>
  <c r="L80" i="63"/>
  <c r="M80" i="63"/>
  <c r="G80" i="63"/>
  <c r="K80" i="63"/>
  <c r="O80" i="63"/>
  <c r="D80" i="63"/>
  <c r="J32" i="63"/>
  <c r="N32" i="63"/>
  <c r="H32" i="63"/>
  <c r="L32" i="63"/>
  <c r="M32" i="63"/>
  <c r="G32" i="63"/>
  <c r="K32" i="63"/>
  <c r="O32" i="63"/>
  <c r="P31" i="25"/>
  <c r="P36" i="25"/>
  <c r="P50" i="25"/>
  <c r="P26" i="25"/>
  <c r="P28" i="25"/>
  <c r="P64" i="25"/>
  <c r="P35" i="25"/>
  <c r="P25" i="25"/>
  <c r="P30" i="25"/>
  <c r="P43" i="62"/>
  <c r="P30" i="63"/>
  <c r="J25" i="62"/>
  <c r="J102" i="25"/>
  <c r="P105" i="63" l="1"/>
  <c r="K90" i="63"/>
  <c r="K94" i="64" s="1"/>
  <c r="K125" i="66" s="1"/>
  <c r="K113" i="67" s="1"/>
  <c r="K103" i="68" s="1"/>
  <c r="K137" i="70" s="1"/>
  <c r="K140" i="71" s="1"/>
  <c r="K99" i="75"/>
  <c r="C66" i="75"/>
  <c r="P66" i="75" s="1"/>
  <c r="C59" i="63"/>
  <c r="C60" i="64" s="1"/>
  <c r="C72" i="66" s="1"/>
  <c r="C68" i="67" s="1"/>
  <c r="C65" i="68" s="1"/>
  <c r="C81" i="71" s="1"/>
  <c r="C66" i="72" s="1"/>
  <c r="C90" i="63"/>
  <c r="C94" i="64" s="1"/>
  <c r="C125" i="66" s="1"/>
  <c r="C113" i="67" s="1"/>
  <c r="C103" i="68" s="1"/>
  <c r="C137" i="70" s="1"/>
  <c r="C140" i="71" s="1"/>
  <c r="C99" i="75"/>
  <c r="L90" i="63"/>
  <c r="L94" i="64" s="1"/>
  <c r="L125" i="66" s="1"/>
  <c r="L113" i="67" s="1"/>
  <c r="L103" i="68" s="1"/>
  <c r="L137" i="70" s="1"/>
  <c r="L140" i="71" s="1"/>
  <c r="L99" i="75"/>
  <c r="N90" i="63"/>
  <c r="N94" i="64" s="1"/>
  <c r="N125" i="66" s="1"/>
  <c r="N113" i="67" s="1"/>
  <c r="N103" i="68" s="1"/>
  <c r="N137" i="70" s="1"/>
  <c r="N140" i="71" s="1"/>
  <c r="N99" i="75"/>
  <c r="M90" i="63"/>
  <c r="M94" i="64" s="1"/>
  <c r="M125" i="66" s="1"/>
  <c r="M113" i="67" s="1"/>
  <c r="M103" i="68" s="1"/>
  <c r="M137" i="70" s="1"/>
  <c r="M140" i="71" s="1"/>
  <c r="M99" i="75"/>
  <c r="M100" i="68"/>
  <c r="M101" i="68" s="1"/>
  <c r="H100" i="68"/>
  <c r="H101" i="68" s="1"/>
  <c r="J100" i="68"/>
  <c r="J101" i="68" s="1"/>
  <c r="O100" i="68"/>
  <c r="O101" i="68" s="1"/>
  <c r="G100" i="68"/>
  <c r="G101" i="68" s="1"/>
  <c r="H77" i="67"/>
  <c r="P77" i="67" s="1"/>
  <c r="H89" i="63"/>
  <c r="O89" i="63"/>
  <c r="J98" i="62"/>
  <c r="J99" i="62"/>
  <c r="F108" i="64"/>
  <c r="F139" i="66" s="1"/>
  <c r="F127" i="67" s="1"/>
  <c r="F117" i="68" s="1"/>
  <c r="F125" i="72" s="1"/>
  <c r="E122" i="73" s="1"/>
  <c r="D120" i="74" s="1"/>
  <c r="G112" i="62"/>
  <c r="P80" i="62"/>
  <c r="H107" i="50"/>
  <c r="H108" i="50" s="1"/>
  <c r="O107" i="50"/>
  <c r="O108" i="50" s="1"/>
  <c r="O100" i="25"/>
  <c r="O112" i="62" s="1"/>
  <c r="O109" i="50" s="1"/>
  <c r="O99" i="25"/>
  <c r="P85" i="50"/>
  <c r="P67" i="63"/>
  <c r="J98" i="25"/>
  <c r="J99" i="25" s="1"/>
  <c r="J100" i="25"/>
  <c r="F99" i="25"/>
  <c r="F100" i="25"/>
  <c r="F112" i="62" s="1"/>
  <c r="F109" i="50" s="1"/>
  <c r="E99" i="25"/>
  <c r="E100" i="25"/>
  <c r="E112" i="62" s="1"/>
  <c r="E109" i="50" s="1"/>
  <c r="I99" i="25"/>
  <c r="I100" i="25"/>
  <c r="I112" i="62" s="1"/>
  <c r="I109" i="50" s="1"/>
  <c r="B81" i="71"/>
  <c r="B66" i="72" s="1"/>
  <c r="B65" i="73" s="1"/>
  <c r="P76" i="50"/>
  <c r="B140" i="66"/>
  <c r="B128" i="67" s="1"/>
  <c r="B118" i="68" s="1"/>
  <c r="P109" i="64"/>
  <c r="B106" i="64"/>
  <c r="P102" i="63"/>
  <c r="B107" i="64"/>
  <c r="P103" i="63"/>
  <c r="P42" i="63"/>
  <c r="K53" i="50"/>
  <c r="P53" i="50" s="1"/>
  <c r="P42" i="50"/>
  <c r="I33" i="74"/>
  <c r="I88" i="74" s="1"/>
  <c r="J71" i="74"/>
  <c r="H33" i="74"/>
  <c r="H88" i="74" s="1"/>
  <c r="I71" i="74"/>
  <c r="G33" i="74"/>
  <c r="G88" i="74" s="1"/>
  <c r="H71" i="74"/>
  <c r="P51" i="72"/>
  <c r="H110" i="62"/>
  <c r="H111" i="62" s="1"/>
  <c r="P24" i="25"/>
  <c r="P60" i="25"/>
  <c r="P62" i="25"/>
  <c r="P61" i="25"/>
  <c r="H63" i="25"/>
  <c r="P63" i="25" s="1"/>
  <c r="P46" i="25"/>
  <c r="P47" i="25"/>
  <c r="P48" i="25"/>
  <c r="P92" i="25"/>
  <c r="C95" i="72"/>
  <c r="C73" i="74"/>
  <c r="L73" i="74" s="1"/>
  <c r="P94" i="25"/>
  <c r="M74" i="73"/>
  <c r="P61" i="64"/>
  <c r="P77" i="50"/>
  <c r="M51" i="73"/>
  <c r="C97" i="73"/>
  <c r="M97" i="73" s="1"/>
  <c r="C41" i="73"/>
  <c r="P76" i="25"/>
  <c r="P90" i="71"/>
  <c r="P60" i="63"/>
  <c r="D75" i="72"/>
  <c r="P67" i="72"/>
  <c r="P77" i="70"/>
  <c r="P69" i="25"/>
  <c r="P82" i="71"/>
  <c r="L48" i="74"/>
  <c r="C39" i="74"/>
  <c r="C88" i="74"/>
  <c r="P69" i="67"/>
  <c r="P73" i="66"/>
  <c r="N75" i="72"/>
  <c r="N36" i="72"/>
  <c r="N34" i="72" s="1"/>
  <c r="P34" i="72" s="1"/>
  <c r="O115" i="66"/>
  <c r="H31" i="72"/>
  <c r="H95" i="72" s="1"/>
  <c r="B70" i="74"/>
  <c r="N31" i="72"/>
  <c r="G70" i="74"/>
  <c r="C70" i="74"/>
  <c r="L114" i="74"/>
  <c r="L69" i="74"/>
  <c r="H70" i="74"/>
  <c r="J70" i="74"/>
  <c r="I70" i="74"/>
  <c r="L105" i="74"/>
  <c r="P62" i="71"/>
  <c r="H130" i="71"/>
  <c r="P130" i="71" s="1"/>
  <c r="H50" i="71"/>
  <c r="O46" i="66"/>
  <c r="P44" i="66"/>
  <c r="O35" i="64"/>
  <c r="O84" i="64"/>
  <c r="G84" i="64"/>
  <c r="G35" i="64"/>
  <c r="H84" i="64"/>
  <c r="H35" i="64"/>
  <c r="J84" i="64"/>
  <c r="J35" i="64"/>
  <c r="M84" i="64"/>
  <c r="M35" i="64"/>
  <c r="N84" i="64"/>
  <c r="N35" i="64"/>
  <c r="P33" i="64"/>
  <c r="H124" i="66"/>
  <c r="P57" i="70"/>
  <c r="H43" i="67"/>
  <c r="P43" i="67" s="1"/>
  <c r="H103" i="67"/>
  <c r="P103" i="67" s="1"/>
  <c r="P52" i="67"/>
  <c r="J123" i="66"/>
  <c r="J115" i="66"/>
  <c r="J46" i="66"/>
  <c r="P49" i="68"/>
  <c r="H93" i="68"/>
  <c r="P93" i="68" s="1"/>
  <c r="H40" i="68"/>
  <c r="P40" i="68" s="1"/>
  <c r="P40" i="25"/>
  <c r="D84" i="64"/>
  <c r="D35" i="64"/>
  <c r="D46" i="66"/>
  <c r="D115" i="66"/>
  <c r="D32" i="63"/>
  <c r="P80" i="63"/>
  <c r="D110" i="62"/>
  <c r="D111" i="62" s="1"/>
  <c r="D45" i="62"/>
  <c r="P54" i="62"/>
  <c r="P99" i="50"/>
  <c r="P25" i="62"/>
  <c r="J45" i="62"/>
  <c r="I96" i="25"/>
  <c r="I102" i="25" s="1"/>
  <c r="I114" i="62" s="1"/>
  <c r="I111" i="50" s="1"/>
  <c r="N70" i="25"/>
  <c r="N106" i="62" s="1"/>
  <c r="E70" i="25"/>
  <c r="E106" i="62" s="1"/>
  <c r="F70" i="25"/>
  <c r="F106" i="62" s="1"/>
  <c r="K70" i="25"/>
  <c r="K106" i="62" s="1"/>
  <c r="H70" i="25"/>
  <c r="H106" i="62" s="1"/>
  <c r="L70" i="25"/>
  <c r="L106" i="62" s="1"/>
  <c r="M70" i="25"/>
  <c r="M106" i="62" s="1"/>
  <c r="B70" i="25"/>
  <c r="B106" i="62" s="1"/>
  <c r="G70" i="25"/>
  <c r="G106" i="62" s="1"/>
  <c r="D70" i="25"/>
  <c r="D106" i="62" s="1"/>
  <c r="I70" i="25"/>
  <c r="I106" i="62" s="1"/>
  <c r="O70" i="25"/>
  <c r="O106" i="62" s="1"/>
  <c r="J70" i="25"/>
  <c r="J106" i="62" s="1"/>
  <c r="C70" i="25"/>
  <c r="C106" i="62" s="1"/>
  <c r="B61" i="43"/>
  <c r="B60" i="43"/>
  <c r="B59" i="43"/>
  <c r="B58" i="43"/>
  <c r="B57" i="43"/>
  <c r="B56" i="43"/>
  <c r="B55" i="43"/>
  <c r="B54" i="43"/>
  <c r="B53" i="43"/>
  <c r="B52" i="43"/>
  <c r="C51" i="43"/>
  <c r="B51" i="43"/>
  <c r="C50" i="43"/>
  <c r="B50" i="43"/>
  <c r="C49" i="43"/>
  <c r="B49" i="43"/>
  <c r="C48" i="43"/>
  <c r="B48" i="43"/>
  <c r="C47" i="43"/>
  <c r="B47" i="43"/>
  <c r="C46" i="43"/>
  <c r="B46" i="43"/>
  <c r="C45" i="43"/>
  <c r="B45" i="43"/>
  <c r="C44" i="43"/>
  <c r="B44" i="43"/>
  <c r="C43" i="43"/>
  <c r="B43" i="43"/>
  <c r="C42" i="43"/>
  <c r="B42" i="43"/>
  <c r="C41" i="43"/>
  <c r="B41" i="43"/>
  <c r="C40" i="43"/>
  <c r="B40" i="43"/>
  <c r="C39" i="43"/>
  <c r="B39" i="43"/>
  <c r="C38" i="43"/>
  <c r="B38" i="43"/>
  <c r="J61" i="43"/>
  <c r="J57" i="43"/>
  <c r="J53" i="43"/>
  <c r="A61" i="43"/>
  <c r="A60" i="43"/>
  <c r="J60" i="43" s="1"/>
  <c r="A59" i="43"/>
  <c r="J59" i="43" s="1"/>
  <c r="A58" i="43"/>
  <c r="J58" i="43" s="1"/>
  <c r="A57" i="43"/>
  <c r="A56" i="43"/>
  <c r="J56" i="43" s="1"/>
  <c r="A55" i="43"/>
  <c r="J55" i="43" s="1"/>
  <c r="A54" i="43"/>
  <c r="J54" i="43" s="1"/>
  <c r="A53" i="43"/>
  <c r="A52" i="43"/>
  <c r="J52" i="43" s="1"/>
  <c r="A51" i="43"/>
  <c r="J51" i="43" s="1"/>
  <c r="I33" i="43"/>
  <c r="K8" i="43"/>
  <c r="K9" i="43" s="1"/>
  <c r="K10" i="43" s="1"/>
  <c r="K11" i="43" s="1"/>
  <c r="K12" i="43" s="1"/>
  <c r="K13" i="43" s="1"/>
  <c r="K14" i="43" s="1"/>
  <c r="K15" i="43" s="1"/>
  <c r="K16" i="43" s="1"/>
  <c r="K17" i="43" s="1"/>
  <c r="K18" i="43" s="1"/>
  <c r="K19" i="43" s="1"/>
  <c r="K20" i="43" s="1"/>
  <c r="F90" i="63" l="1"/>
  <c r="F94" i="64" s="1"/>
  <c r="F125" i="66" s="1"/>
  <c r="F113" i="67" s="1"/>
  <c r="F103" i="68" s="1"/>
  <c r="F137" i="70" s="1"/>
  <c r="F140" i="71" s="1"/>
  <c r="F99" i="75"/>
  <c r="E90" i="63"/>
  <c r="E94" i="64" s="1"/>
  <c r="E125" i="66" s="1"/>
  <c r="E113" i="67" s="1"/>
  <c r="E103" i="68" s="1"/>
  <c r="E137" i="70" s="1"/>
  <c r="E140" i="71" s="1"/>
  <c r="E99" i="75"/>
  <c r="I90" i="63"/>
  <c r="I94" i="64" s="1"/>
  <c r="I125" i="66" s="1"/>
  <c r="I113" i="67" s="1"/>
  <c r="I103" i="68" s="1"/>
  <c r="I137" i="70" s="1"/>
  <c r="I140" i="71" s="1"/>
  <c r="I99" i="75"/>
  <c r="I92" i="63"/>
  <c r="I101" i="75"/>
  <c r="P108" i="64"/>
  <c r="H74" i="68"/>
  <c r="P74" i="68" s="1"/>
  <c r="P66" i="68"/>
  <c r="M123" i="66"/>
  <c r="M124" i="66" s="1"/>
  <c r="M53" i="66" s="1"/>
  <c r="M60" i="66" s="1"/>
  <c r="O123" i="66"/>
  <c r="O124" i="66" s="1"/>
  <c r="O53" i="66" s="1"/>
  <c r="O60" i="66" s="1"/>
  <c r="O62" i="66" s="1"/>
  <c r="O90" i="63"/>
  <c r="O94" i="64" s="1"/>
  <c r="O125" i="66" s="1"/>
  <c r="O113" i="67" s="1"/>
  <c r="O103" i="68" s="1"/>
  <c r="O137" i="70" s="1"/>
  <c r="O140" i="71" s="1"/>
  <c r="O99" i="75"/>
  <c r="J112" i="62"/>
  <c r="J109" i="50" s="1"/>
  <c r="G109" i="50"/>
  <c r="P106" i="50"/>
  <c r="G107" i="50"/>
  <c r="G108" i="50" s="1"/>
  <c r="P59" i="63"/>
  <c r="D112" i="62"/>
  <c r="D109" i="50" s="1"/>
  <c r="H99" i="25"/>
  <c r="H100" i="25"/>
  <c r="H112" i="62" s="1"/>
  <c r="H109" i="50" s="1"/>
  <c r="B63" i="74"/>
  <c r="L63" i="74" s="1"/>
  <c r="I98" i="25"/>
  <c r="P60" i="64"/>
  <c r="B138" i="66"/>
  <c r="B126" i="67" s="1"/>
  <c r="B116" i="68" s="1"/>
  <c r="B124" i="72" s="1"/>
  <c r="B121" i="73" s="1"/>
  <c r="P107" i="64"/>
  <c r="B137" i="66"/>
  <c r="B125" i="67" s="1"/>
  <c r="B115" i="68" s="1"/>
  <c r="B123" i="72" s="1"/>
  <c r="B120" i="73" s="1"/>
  <c r="P106" i="64"/>
  <c r="P85" i="64"/>
  <c r="I39" i="74"/>
  <c r="G39" i="74"/>
  <c r="H39" i="74"/>
  <c r="P44" i="64"/>
  <c r="H52" i="62"/>
  <c r="G52" i="62"/>
  <c r="H96" i="25"/>
  <c r="H98" i="25" s="1"/>
  <c r="N95" i="72"/>
  <c r="P32" i="63"/>
  <c r="M41" i="73"/>
  <c r="P72" i="66"/>
  <c r="D53" i="68"/>
  <c r="D55" i="68" s="1"/>
  <c r="H94" i="72"/>
  <c r="H42" i="72"/>
  <c r="P75" i="72"/>
  <c r="P68" i="67"/>
  <c r="L104" i="74"/>
  <c r="L70" i="74"/>
  <c r="P50" i="71"/>
  <c r="P84" i="64"/>
  <c r="P35" i="64"/>
  <c r="J124" i="66"/>
  <c r="H53" i="66"/>
  <c r="H60" i="66" s="1"/>
  <c r="G115" i="66"/>
  <c r="G123" i="66"/>
  <c r="G46" i="66"/>
  <c r="P56" i="66"/>
  <c r="P44" i="50"/>
  <c r="P51" i="25"/>
  <c r="P70" i="25"/>
  <c r="H45" i="70"/>
  <c r="H127" i="70"/>
  <c r="D123" i="66"/>
  <c r="I96" i="64"/>
  <c r="I127" i="66" s="1"/>
  <c r="I115" i="67" s="1"/>
  <c r="I105" i="68" s="1"/>
  <c r="I142" i="71" s="1"/>
  <c r="I106" i="72" s="1"/>
  <c r="G110" i="73" s="1"/>
  <c r="P63" i="62"/>
  <c r="P45" i="62"/>
  <c r="P99" i="62"/>
  <c r="J73" i="62"/>
  <c r="J104" i="50" s="1"/>
  <c r="O73" i="62"/>
  <c r="O104" i="50" s="1"/>
  <c r="G73" i="62"/>
  <c r="G104" i="50" s="1"/>
  <c r="E73" i="62"/>
  <c r="E104" i="50" s="1"/>
  <c r="P50" i="62"/>
  <c r="P51" i="62"/>
  <c r="P100" i="62"/>
  <c r="F73" i="62"/>
  <c r="F104" i="50" s="1"/>
  <c r="C73" i="62"/>
  <c r="C104" i="50" s="1"/>
  <c r="I73" i="62"/>
  <c r="I104" i="50" s="1"/>
  <c r="B73" i="62"/>
  <c r="H73" i="62"/>
  <c r="H104" i="50" s="1"/>
  <c r="N73" i="62"/>
  <c r="N104" i="50" s="1"/>
  <c r="D73" i="62"/>
  <c r="D104" i="50" s="1"/>
  <c r="L73" i="62"/>
  <c r="L104" i="50" s="1"/>
  <c r="M73" i="62"/>
  <c r="M104" i="50" s="1"/>
  <c r="K73" i="62"/>
  <c r="K104" i="50" s="1"/>
  <c r="O96" i="25"/>
  <c r="M96" i="25"/>
  <c r="N96" i="25"/>
  <c r="G96" i="25"/>
  <c r="K96" i="25"/>
  <c r="D96" i="25"/>
  <c r="F96" i="25"/>
  <c r="C96" i="25"/>
  <c r="E96" i="25"/>
  <c r="B96" i="25"/>
  <c r="B97" i="25" s="1"/>
  <c r="L96" i="25"/>
  <c r="A50" i="43"/>
  <c r="J50" i="43" s="1"/>
  <c r="A49" i="43"/>
  <c r="J49" i="43" s="1"/>
  <c r="A48" i="43"/>
  <c r="J48" i="43" s="1"/>
  <c r="A47" i="43"/>
  <c r="J47" i="43" s="1"/>
  <c r="A46" i="43"/>
  <c r="J46" i="43" s="1"/>
  <c r="A45" i="43"/>
  <c r="J45" i="43" s="1"/>
  <c r="A44" i="43"/>
  <c r="J44" i="43" s="1"/>
  <c r="A43" i="43"/>
  <c r="J43" i="43" s="1"/>
  <c r="A42" i="43"/>
  <c r="J42" i="43" s="1"/>
  <c r="A41" i="43"/>
  <c r="J41" i="43" s="1"/>
  <c r="A40" i="43"/>
  <c r="J40" i="43" s="1"/>
  <c r="A39" i="43"/>
  <c r="J39" i="43" s="1"/>
  <c r="A38" i="43"/>
  <c r="J38" i="43" s="1"/>
  <c r="I37" i="43"/>
  <c r="H37" i="43"/>
  <c r="G37" i="43"/>
  <c r="F37" i="43"/>
  <c r="E37" i="43"/>
  <c r="D37" i="43"/>
  <c r="J90" i="63" l="1"/>
  <c r="J94" i="64" s="1"/>
  <c r="J125" i="66" s="1"/>
  <c r="J113" i="67" s="1"/>
  <c r="J103" i="68" s="1"/>
  <c r="J137" i="70" s="1"/>
  <c r="J140" i="71" s="1"/>
  <c r="J99" i="75"/>
  <c r="H90" i="63"/>
  <c r="H94" i="64" s="1"/>
  <c r="H125" i="66" s="1"/>
  <c r="H113" i="67" s="1"/>
  <c r="H103" i="68" s="1"/>
  <c r="H137" i="70" s="1"/>
  <c r="H140" i="71" s="1"/>
  <c r="H99" i="75"/>
  <c r="D90" i="63"/>
  <c r="D94" i="64" s="1"/>
  <c r="D125" i="66" s="1"/>
  <c r="D113" i="67" s="1"/>
  <c r="D103" i="68" s="1"/>
  <c r="D137" i="70" s="1"/>
  <c r="D140" i="71" s="1"/>
  <c r="D99" i="75"/>
  <c r="G90" i="63"/>
  <c r="G94" i="64" s="1"/>
  <c r="G125" i="66" s="1"/>
  <c r="G113" i="67" s="1"/>
  <c r="G103" i="68" s="1"/>
  <c r="G137" i="70" s="1"/>
  <c r="G140" i="71" s="1"/>
  <c r="G99" i="75"/>
  <c r="L97" i="25"/>
  <c r="L98" i="25" s="1"/>
  <c r="L99" i="25" s="1"/>
  <c r="D97" i="25"/>
  <c r="D98" i="25" s="1"/>
  <c r="K97" i="25"/>
  <c r="K98" i="25" s="1"/>
  <c r="K99" i="25" s="1"/>
  <c r="C97" i="25"/>
  <c r="C98" i="25" s="1"/>
  <c r="C99" i="25" s="1"/>
  <c r="G97" i="25"/>
  <c r="G98" i="25" s="1"/>
  <c r="G99" i="25" s="1"/>
  <c r="N97" i="25"/>
  <c r="N98" i="25" s="1"/>
  <c r="N99" i="25" s="1"/>
  <c r="M97" i="25"/>
  <c r="M98" i="25" s="1"/>
  <c r="M99" i="25" s="1"/>
  <c r="B71" i="74"/>
  <c r="B33" i="74"/>
  <c r="B98" i="25"/>
  <c r="B99" i="25" s="1"/>
  <c r="B100" i="25"/>
  <c r="B112" i="62" s="1"/>
  <c r="B109" i="50" s="1"/>
  <c r="B99" i="75" s="1"/>
  <c r="F98" i="25"/>
  <c r="E98" i="25"/>
  <c r="O98" i="25"/>
  <c r="P73" i="62"/>
  <c r="H58" i="62"/>
  <c r="H60" i="62" s="1"/>
  <c r="G58" i="62"/>
  <c r="G60" i="62" s="1"/>
  <c r="P106" i="62"/>
  <c r="H102" i="25"/>
  <c r="H114" i="62" s="1"/>
  <c r="H111" i="50" s="1"/>
  <c r="P65" i="68"/>
  <c r="M65" i="73"/>
  <c r="G124" i="66"/>
  <c r="J53" i="66"/>
  <c r="J60" i="66" s="1"/>
  <c r="J62" i="66" s="1"/>
  <c r="D124" i="66"/>
  <c r="P76" i="70"/>
  <c r="P96" i="25"/>
  <c r="P91" i="25"/>
  <c r="B102" i="25"/>
  <c r="M102" i="25"/>
  <c r="M114" i="62" s="1"/>
  <c r="M111" i="50" s="1"/>
  <c r="E78" i="50"/>
  <c r="M78" i="50"/>
  <c r="L78" i="50"/>
  <c r="N78" i="50"/>
  <c r="B104" i="50"/>
  <c r="B78" i="50"/>
  <c r="C78" i="50"/>
  <c r="O78" i="50"/>
  <c r="G78" i="50"/>
  <c r="J78" i="50"/>
  <c r="K78" i="50"/>
  <c r="D78" i="50"/>
  <c r="H78" i="50"/>
  <c r="I78" i="50"/>
  <c r="F78" i="50"/>
  <c r="J108" i="62"/>
  <c r="P49" i="62"/>
  <c r="O102" i="25"/>
  <c r="O114" i="62" s="1"/>
  <c r="O111" i="50" s="1"/>
  <c r="D102" i="25"/>
  <c r="D114" i="62" s="1"/>
  <c r="D111" i="50" s="1"/>
  <c r="E102" i="25"/>
  <c r="E114" i="62" s="1"/>
  <c r="E111" i="50" s="1"/>
  <c r="K102" i="25"/>
  <c r="K114" i="62" s="1"/>
  <c r="K111" i="50" s="1"/>
  <c r="N102" i="25"/>
  <c r="N114" i="62" s="1"/>
  <c r="N111" i="50" s="1"/>
  <c r="C102" i="25"/>
  <c r="C114" i="62" s="1"/>
  <c r="C111" i="50" s="1"/>
  <c r="G102" i="25"/>
  <c r="G114" i="62" s="1"/>
  <c r="G111" i="50" s="1"/>
  <c r="G101" i="75" s="1"/>
  <c r="L102" i="25"/>
  <c r="L114" i="62" s="1"/>
  <c r="L111" i="50" s="1"/>
  <c r="F102" i="25"/>
  <c r="F114" i="62" s="1"/>
  <c r="F111" i="50" s="1"/>
  <c r="A37" i="43"/>
  <c r="C36" i="43" s="1"/>
  <c r="J37" i="43"/>
  <c r="A9" i="38"/>
  <c r="P99" i="75" l="1"/>
  <c r="O92" i="63"/>
  <c r="O101" i="75"/>
  <c r="J94" i="75"/>
  <c r="J68" i="75"/>
  <c r="M94" i="75"/>
  <c r="M68" i="75"/>
  <c r="H92" i="63"/>
  <c r="H96" i="64" s="1"/>
  <c r="H127" i="66" s="1"/>
  <c r="H115" i="67" s="1"/>
  <c r="H105" i="68" s="1"/>
  <c r="H142" i="71" s="1"/>
  <c r="H106" i="72" s="1"/>
  <c r="H101" i="75"/>
  <c r="N92" i="63"/>
  <c r="N101" i="75"/>
  <c r="I94" i="75"/>
  <c r="I68" i="75"/>
  <c r="B94" i="75"/>
  <c r="B68" i="75"/>
  <c r="L92" i="63"/>
  <c r="L96" i="64" s="1"/>
  <c r="L127" i="66" s="1"/>
  <c r="L115" i="67" s="1"/>
  <c r="L105" i="68" s="1"/>
  <c r="L142" i="71" s="1"/>
  <c r="L106" i="72" s="1"/>
  <c r="J110" i="73" s="1"/>
  <c r="I146" i="74" s="1"/>
  <c r="L101" i="75"/>
  <c r="H94" i="75"/>
  <c r="H68" i="75"/>
  <c r="E94" i="75"/>
  <c r="E68" i="75"/>
  <c r="C92" i="63"/>
  <c r="C101" i="75"/>
  <c r="D92" i="63"/>
  <c r="D96" i="64" s="1"/>
  <c r="D127" i="66" s="1"/>
  <c r="D115" i="67" s="1"/>
  <c r="D101" i="75"/>
  <c r="F94" i="75"/>
  <c r="F68" i="75"/>
  <c r="K94" i="75"/>
  <c r="K68" i="75"/>
  <c r="C94" i="75"/>
  <c r="C68" i="75"/>
  <c r="L94" i="75"/>
  <c r="L68" i="75"/>
  <c r="F92" i="63"/>
  <c r="F96" i="64" s="1"/>
  <c r="F127" i="66" s="1"/>
  <c r="F115" i="67" s="1"/>
  <c r="F105" i="68" s="1"/>
  <c r="F142" i="71" s="1"/>
  <c r="F106" i="72" s="1"/>
  <c r="E110" i="73" s="1"/>
  <c r="F101" i="75"/>
  <c r="K92" i="63"/>
  <c r="K96" i="64" s="1"/>
  <c r="K127" i="66" s="1"/>
  <c r="K115" i="67" s="1"/>
  <c r="K105" i="68" s="1"/>
  <c r="K142" i="71" s="1"/>
  <c r="K106" i="72" s="1"/>
  <c r="I110" i="73" s="1"/>
  <c r="H146" i="74" s="1"/>
  <c r="K101" i="75"/>
  <c r="G94" i="75"/>
  <c r="G68" i="75"/>
  <c r="E92" i="63"/>
  <c r="E96" i="64" s="1"/>
  <c r="E127" i="66" s="1"/>
  <c r="E115" i="67" s="1"/>
  <c r="E105" i="68" s="1"/>
  <c r="E142" i="71" s="1"/>
  <c r="E106" i="72" s="1"/>
  <c r="D110" i="73" s="1"/>
  <c r="E101" i="75"/>
  <c r="O94" i="75"/>
  <c r="O68" i="75"/>
  <c r="N94" i="75"/>
  <c r="N68" i="75"/>
  <c r="M92" i="63"/>
  <c r="M101" i="75"/>
  <c r="D94" i="75"/>
  <c r="P94" i="75" s="1"/>
  <c r="D68" i="75"/>
  <c r="D99" i="25"/>
  <c r="A10" i="38"/>
  <c r="A11" i="38" s="1"/>
  <c r="A12" i="38" s="1"/>
  <c r="A13" i="38" s="1"/>
  <c r="A14" i="38" s="1"/>
  <c r="A15" i="38" s="1"/>
  <c r="A16" i="38" s="1"/>
  <c r="A17" i="38" s="1"/>
  <c r="A18" i="38" s="1"/>
  <c r="A19" i="38" s="1"/>
  <c r="A20" i="38" s="1"/>
  <c r="A21" i="38" s="1"/>
  <c r="A22" i="38" s="1"/>
  <c r="A23" i="38" s="1"/>
  <c r="A24" i="38" s="1"/>
  <c r="A25" i="38" s="1"/>
  <c r="A26" i="38" s="1"/>
  <c r="A27" i="38" s="1"/>
  <c r="A28" i="38" s="1"/>
  <c r="A29" i="38" s="1"/>
  <c r="A30" i="38" s="1"/>
  <c r="A31" i="38" s="1"/>
  <c r="A32" i="38" s="1"/>
  <c r="A33" i="38" s="1"/>
  <c r="A34" i="38" s="1"/>
  <c r="A35" i="38" s="1"/>
  <c r="A36" i="38" s="1"/>
  <c r="A37" i="38" s="1"/>
  <c r="A38" i="38" s="1"/>
  <c r="A39" i="38" s="1"/>
  <c r="J109" i="62"/>
  <c r="J110" i="62" s="1"/>
  <c r="J111" i="62" s="1"/>
  <c r="D52" i="62"/>
  <c r="B39" i="74"/>
  <c r="B88" i="74"/>
  <c r="L88" i="74" s="1"/>
  <c r="L33" i="74"/>
  <c r="G53" i="66"/>
  <c r="G60" i="66" s="1"/>
  <c r="G62" i="66" s="1"/>
  <c r="P81" i="71"/>
  <c r="B114" i="62"/>
  <c r="B111" i="50" s="1"/>
  <c r="P102" i="25"/>
  <c r="I45" i="70"/>
  <c r="I127" i="70"/>
  <c r="L85" i="63"/>
  <c r="E85" i="63"/>
  <c r="F85" i="63"/>
  <c r="H85" i="63"/>
  <c r="K85" i="63"/>
  <c r="G85" i="63"/>
  <c r="C85" i="63"/>
  <c r="N85" i="63"/>
  <c r="M85" i="63"/>
  <c r="I85" i="63"/>
  <c r="D85" i="63"/>
  <c r="J85" i="63"/>
  <c r="O85" i="63"/>
  <c r="B85" i="63"/>
  <c r="M96" i="64"/>
  <c r="M127" i="66" s="1"/>
  <c r="M115" i="67" s="1"/>
  <c r="M105" i="68" s="1"/>
  <c r="M142" i="71" s="1"/>
  <c r="M106" i="72" s="1"/>
  <c r="K110" i="73" s="1"/>
  <c r="J146" i="74" s="1"/>
  <c r="O96" i="64"/>
  <c r="O127" i="66" s="1"/>
  <c r="O115" i="67" s="1"/>
  <c r="O105" i="68" s="1"/>
  <c r="O142" i="71" s="1"/>
  <c r="O106" i="72" s="1"/>
  <c r="L110" i="73" s="1"/>
  <c r="C96" i="64"/>
  <c r="C127" i="66" s="1"/>
  <c r="C115" i="67" s="1"/>
  <c r="C105" i="68" s="1"/>
  <c r="C142" i="71" s="1"/>
  <c r="C106" i="72" s="1"/>
  <c r="N96" i="64"/>
  <c r="N127" i="66" s="1"/>
  <c r="N115" i="67" s="1"/>
  <c r="N105" i="68" s="1"/>
  <c r="N142" i="71" s="1"/>
  <c r="N106" i="72" s="1"/>
  <c r="G92" i="63"/>
  <c r="P104" i="50"/>
  <c r="F61" i="63"/>
  <c r="H61" i="63"/>
  <c r="N61" i="63"/>
  <c r="M61" i="63"/>
  <c r="J61" i="63"/>
  <c r="O61" i="63"/>
  <c r="B61" i="63"/>
  <c r="I61" i="63"/>
  <c r="D61" i="63"/>
  <c r="K61" i="63"/>
  <c r="L61" i="63"/>
  <c r="E61" i="63"/>
  <c r="J114" i="62"/>
  <c r="J111" i="50" s="1"/>
  <c r="P108" i="62"/>
  <c r="G61" i="63"/>
  <c r="C61" i="63"/>
  <c r="P78" i="50"/>
  <c r="F49" i="25"/>
  <c r="F55" i="25" s="1"/>
  <c r="F57" i="25" s="1"/>
  <c r="F101" i="25"/>
  <c r="F113" i="62" s="1"/>
  <c r="E49" i="25"/>
  <c r="E55" i="25" s="1"/>
  <c r="E57" i="25" s="1"/>
  <c r="E101" i="25"/>
  <c r="E113" i="62" s="1"/>
  <c r="H49" i="25"/>
  <c r="H55" i="25" s="1"/>
  <c r="H57" i="25" s="1"/>
  <c r="H101" i="25"/>
  <c r="H113" i="62" s="1"/>
  <c r="I49" i="25"/>
  <c r="I55" i="25" s="1"/>
  <c r="I57" i="25" s="1"/>
  <c r="I101" i="25"/>
  <c r="I113" i="62" s="1"/>
  <c r="O49" i="25"/>
  <c r="O55" i="25" s="1"/>
  <c r="O57" i="25" s="1"/>
  <c r="O101" i="25"/>
  <c r="O113" i="62" s="1"/>
  <c r="B8" i="43"/>
  <c r="D105" i="68" l="1"/>
  <c r="D142" i="71" s="1"/>
  <c r="D106" i="72" s="1"/>
  <c r="C110" i="73" s="1"/>
  <c r="C146" i="74" s="1"/>
  <c r="B92" i="63"/>
  <c r="B101" i="75"/>
  <c r="J92" i="63"/>
  <c r="J101" i="75"/>
  <c r="P68" i="75"/>
  <c r="P85" i="63"/>
  <c r="D58" i="62"/>
  <c r="D60" i="62" s="1"/>
  <c r="P110" i="62"/>
  <c r="A40" i="38"/>
  <c r="A41" i="38" s="1"/>
  <c r="A42" i="38" s="1"/>
  <c r="A43" i="38" s="1"/>
  <c r="A44" i="38" s="1"/>
  <c r="A45" i="38" s="1"/>
  <c r="A46" i="38" s="1"/>
  <c r="A47" i="38" s="1"/>
  <c r="A48" i="38" s="1"/>
  <c r="A49" i="38" s="1"/>
  <c r="A50" i="38" s="1"/>
  <c r="A51" i="38" s="1"/>
  <c r="A52" i="38" s="1"/>
  <c r="A53" i="38" s="1"/>
  <c r="A54" i="38" s="1"/>
  <c r="A55" i="38" s="1"/>
  <c r="A56" i="38" s="1"/>
  <c r="A57" i="38" s="1"/>
  <c r="A58" i="38" s="1"/>
  <c r="A59" i="38" s="1"/>
  <c r="A60" i="38" s="1"/>
  <c r="A61" i="38" s="1"/>
  <c r="A62" i="38" s="1"/>
  <c r="A63" i="38" s="1"/>
  <c r="A64" i="38" s="1"/>
  <c r="A65" i="38" s="1"/>
  <c r="A66" i="38" s="1"/>
  <c r="A67" i="38" s="1"/>
  <c r="A68" i="38" s="1"/>
  <c r="A69" i="38" s="1"/>
  <c r="A70" i="38" s="1"/>
  <c r="A71" i="38" s="1"/>
  <c r="L39" i="74"/>
  <c r="P100" i="25"/>
  <c r="P66" i="72"/>
  <c r="B96" i="64"/>
  <c r="P97" i="25"/>
  <c r="E89" i="64"/>
  <c r="E62" i="64"/>
  <c r="E120" i="66" s="1"/>
  <c r="N89" i="64"/>
  <c r="N62" i="64"/>
  <c r="N120" i="66" s="1"/>
  <c r="G62" i="64"/>
  <c r="G120" i="66" s="1"/>
  <c r="L62" i="64"/>
  <c r="L120" i="66" s="1"/>
  <c r="L89" i="64"/>
  <c r="B89" i="64"/>
  <c r="B62" i="64"/>
  <c r="H89" i="64"/>
  <c r="H62" i="64"/>
  <c r="H120" i="66" s="1"/>
  <c r="C62" i="64"/>
  <c r="C120" i="66" s="1"/>
  <c r="C89" i="64"/>
  <c r="I89" i="64"/>
  <c r="I62" i="64"/>
  <c r="I120" i="66" s="1"/>
  <c r="K62" i="64"/>
  <c r="K120" i="66" s="1"/>
  <c r="K89" i="64"/>
  <c r="O62" i="64"/>
  <c r="O120" i="66" s="1"/>
  <c r="F89" i="64"/>
  <c r="F62" i="64"/>
  <c r="F120" i="66" s="1"/>
  <c r="D62" i="64"/>
  <c r="D120" i="66" s="1"/>
  <c r="D89" i="64"/>
  <c r="J62" i="64"/>
  <c r="J120" i="66" s="1"/>
  <c r="J89" i="64"/>
  <c r="M89" i="64"/>
  <c r="M62" i="64"/>
  <c r="M120" i="66" s="1"/>
  <c r="M46" i="66"/>
  <c r="M115" i="66"/>
  <c r="J96" i="64"/>
  <c r="J127" i="66" s="1"/>
  <c r="J115" i="67" s="1"/>
  <c r="J105" i="68" s="1"/>
  <c r="J142" i="71" s="1"/>
  <c r="J106" i="72" s="1"/>
  <c r="H110" i="73" s="1"/>
  <c r="G146" i="74" s="1"/>
  <c r="G96" i="64"/>
  <c r="G127" i="66" s="1"/>
  <c r="G115" i="67" s="1"/>
  <c r="G105" i="68" s="1"/>
  <c r="G142" i="71" s="1"/>
  <c r="G106" i="72" s="1"/>
  <c r="F110" i="73" s="1"/>
  <c r="E146" i="74" s="1"/>
  <c r="P114" i="62"/>
  <c r="P61" i="63"/>
  <c r="P109" i="62"/>
  <c r="P111" i="50"/>
  <c r="P101" i="75" l="1"/>
  <c r="P92" i="63"/>
  <c r="B7" i="43"/>
  <c r="P89" i="64"/>
  <c r="B127" i="66"/>
  <c r="B115" i="67" s="1"/>
  <c r="B105" i="68" s="1"/>
  <c r="B142" i="71" s="1"/>
  <c r="B106" i="72" s="1"/>
  <c r="B110" i="73" s="1"/>
  <c r="B146" i="74" s="1"/>
  <c r="P96" i="64"/>
  <c r="P112" i="62"/>
  <c r="O45" i="70"/>
  <c r="O127" i="70"/>
  <c r="E45" i="70"/>
  <c r="E127" i="70"/>
  <c r="C127" i="70"/>
  <c r="C45" i="70"/>
  <c r="L127" i="70"/>
  <c r="L45" i="70"/>
  <c r="K127" i="70"/>
  <c r="K45" i="70"/>
  <c r="D63" i="70"/>
  <c r="N127" i="70"/>
  <c r="N45" i="70"/>
  <c r="F45" i="70"/>
  <c r="F127" i="70"/>
  <c r="B45" i="70"/>
  <c r="B127" i="70"/>
  <c r="M127" i="70"/>
  <c r="M45" i="70"/>
  <c r="O74" i="66"/>
  <c r="L74" i="66"/>
  <c r="J74" i="66"/>
  <c r="K74" i="66"/>
  <c r="C74" i="66"/>
  <c r="B74" i="66"/>
  <c r="B120" i="66"/>
  <c r="E74" i="66"/>
  <c r="D74" i="66"/>
  <c r="H74" i="66"/>
  <c r="N74" i="66"/>
  <c r="F74" i="66"/>
  <c r="P62" i="64"/>
  <c r="M74" i="66"/>
  <c r="I74" i="66"/>
  <c r="G74" i="66"/>
  <c r="M62" i="66"/>
  <c r="D53" i="66"/>
  <c r="J52" i="62"/>
  <c r="P111" i="62"/>
  <c r="G108" i="67" l="1"/>
  <c r="G70" i="67"/>
  <c r="E108" i="67"/>
  <c r="E70" i="67"/>
  <c r="K108" i="67"/>
  <c r="K70" i="67"/>
  <c r="N108" i="67"/>
  <c r="N70" i="67"/>
  <c r="J108" i="67"/>
  <c r="J70" i="67"/>
  <c r="F108" i="67"/>
  <c r="F70" i="67"/>
  <c r="I108" i="67"/>
  <c r="I70" i="67"/>
  <c r="M108" i="67"/>
  <c r="M70" i="67"/>
  <c r="H108" i="67"/>
  <c r="H70" i="67"/>
  <c r="B108" i="67"/>
  <c r="B70" i="67"/>
  <c r="L108" i="67"/>
  <c r="L70" i="67"/>
  <c r="D108" i="67"/>
  <c r="D70" i="67"/>
  <c r="C108" i="67"/>
  <c r="C70" i="67"/>
  <c r="O108" i="67"/>
  <c r="O70" i="67"/>
  <c r="C11" i="43"/>
  <c r="C9" i="43"/>
  <c r="C10" i="43"/>
  <c r="C12" i="43"/>
  <c r="P127" i="66"/>
  <c r="P115" i="67"/>
  <c r="P105" i="68"/>
  <c r="P106" i="72"/>
  <c r="M110" i="73"/>
  <c r="P139" i="70"/>
  <c r="P142" i="71"/>
  <c r="B49" i="25"/>
  <c r="B55" i="25" s="1"/>
  <c r="D49" i="25"/>
  <c r="D55" i="25" s="1"/>
  <c r="D57" i="25" s="1"/>
  <c r="D101" i="25"/>
  <c r="M49" i="25"/>
  <c r="M55" i="25" s="1"/>
  <c r="M57" i="25" s="1"/>
  <c r="M101" i="25"/>
  <c r="M113" i="62" s="1"/>
  <c r="P98" i="25"/>
  <c r="N101" i="25"/>
  <c r="N113" i="62" s="1"/>
  <c r="N49" i="25"/>
  <c r="N55" i="25" s="1"/>
  <c r="N57" i="25" s="1"/>
  <c r="G49" i="25"/>
  <c r="G55" i="25" s="1"/>
  <c r="G57" i="25" s="1"/>
  <c r="G101" i="25"/>
  <c r="G113" i="62" s="1"/>
  <c r="K49" i="25"/>
  <c r="K55" i="25" s="1"/>
  <c r="K57" i="25" s="1"/>
  <c r="K101" i="25"/>
  <c r="K113" i="62" s="1"/>
  <c r="C49" i="25"/>
  <c r="C55" i="25" s="1"/>
  <c r="C57" i="25" s="1"/>
  <c r="C101" i="25"/>
  <c r="C113" i="62" s="1"/>
  <c r="L49" i="25"/>
  <c r="L55" i="25" s="1"/>
  <c r="L57" i="25" s="1"/>
  <c r="L101" i="25"/>
  <c r="L113" i="62" s="1"/>
  <c r="G127" i="70"/>
  <c r="G45" i="70"/>
  <c r="J45" i="70"/>
  <c r="J127" i="70"/>
  <c r="P120" i="66"/>
  <c r="P74" i="66"/>
  <c r="J58" i="62"/>
  <c r="P52" i="62"/>
  <c r="D113" i="62" l="1"/>
  <c r="C8" i="43"/>
  <c r="B101" i="25"/>
  <c r="B113" i="62" s="1"/>
  <c r="P127" i="70"/>
  <c r="J49" i="25"/>
  <c r="J55" i="25" s="1"/>
  <c r="J101" i="25"/>
  <c r="J113" i="62" s="1"/>
  <c r="P99" i="25"/>
  <c r="J67" i="68"/>
  <c r="J98" i="68"/>
  <c r="K67" i="68"/>
  <c r="K98" i="68"/>
  <c r="H67" i="68"/>
  <c r="H98" i="68"/>
  <c r="M67" i="68"/>
  <c r="M98" i="68"/>
  <c r="F67" i="68"/>
  <c r="F98" i="68"/>
  <c r="G67" i="68"/>
  <c r="G98" i="68"/>
  <c r="N67" i="68"/>
  <c r="N98" i="68"/>
  <c r="L67" i="68"/>
  <c r="L98" i="68"/>
  <c r="E67" i="68"/>
  <c r="E98" i="68"/>
  <c r="I67" i="68"/>
  <c r="I98" i="68"/>
  <c r="O67" i="68"/>
  <c r="O132" i="70" s="1"/>
  <c r="O98" i="68"/>
  <c r="B67" i="68"/>
  <c r="B98" i="68"/>
  <c r="P70" i="67"/>
  <c r="C67" i="68"/>
  <c r="C98" i="68"/>
  <c r="P108" i="67"/>
  <c r="P45" i="70"/>
  <c r="J60" i="62"/>
  <c r="P58" i="62"/>
  <c r="P60" i="62" l="1"/>
  <c r="P98" i="62"/>
  <c r="H115" i="66"/>
  <c r="H46" i="66"/>
  <c r="H62" i="66" s="1"/>
  <c r="P101" i="25"/>
  <c r="P113" i="62"/>
  <c r="P49" i="25"/>
  <c r="C132" i="70"/>
  <c r="C78" i="70"/>
  <c r="I132" i="70"/>
  <c r="I78" i="70"/>
  <c r="L132" i="70"/>
  <c r="L78" i="70"/>
  <c r="G132" i="70"/>
  <c r="G78" i="70"/>
  <c r="M132" i="70"/>
  <c r="M78" i="70"/>
  <c r="K132" i="70"/>
  <c r="K78" i="70"/>
  <c r="P98" i="68"/>
  <c r="B132" i="70"/>
  <c r="B78" i="70"/>
  <c r="P67" i="68"/>
  <c r="O78" i="70"/>
  <c r="E132" i="70"/>
  <c r="E78" i="70"/>
  <c r="N132" i="70"/>
  <c r="N78" i="70"/>
  <c r="F132" i="70"/>
  <c r="F78" i="70"/>
  <c r="H132" i="70"/>
  <c r="H78" i="70"/>
  <c r="J132" i="70"/>
  <c r="J78" i="70"/>
  <c r="C115" i="66" l="1"/>
  <c r="C46" i="66"/>
  <c r="P55" i="25"/>
  <c r="P132" i="70"/>
  <c r="H83" i="71"/>
  <c r="H135" i="71"/>
  <c r="O83" i="71"/>
  <c r="O135" i="71"/>
  <c r="M83" i="71"/>
  <c r="M135" i="71"/>
  <c r="D135" i="71"/>
  <c r="J83" i="71"/>
  <c r="J135" i="71"/>
  <c r="F83" i="71"/>
  <c r="F135" i="71"/>
  <c r="E83" i="71"/>
  <c r="E135" i="71"/>
  <c r="K135" i="71"/>
  <c r="K83" i="71"/>
  <c r="G135" i="71"/>
  <c r="G83" i="71"/>
  <c r="I83" i="71"/>
  <c r="I135" i="71"/>
  <c r="C83" i="71"/>
  <c r="C135" i="71"/>
  <c r="N135" i="71"/>
  <c r="N83" i="71"/>
  <c r="L135" i="71"/>
  <c r="L83" i="71"/>
  <c r="B83" i="71"/>
  <c r="B135" i="71"/>
  <c r="P78" i="70"/>
  <c r="C62" i="66" l="1"/>
  <c r="P77" i="71"/>
  <c r="B98" i="72"/>
  <c r="B68" i="72"/>
  <c r="I98" i="72"/>
  <c r="I68" i="72"/>
  <c r="F98" i="72"/>
  <c r="F68" i="72"/>
  <c r="O98" i="72"/>
  <c r="O68" i="72"/>
  <c r="L98" i="72"/>
  <c r="L68" i="72"/>
  <c r="G98" i="72"/>
  <c r="G68" i="72"/>
  <c r="C98" i="72"/>
  <c r="C36" i="72" s="1"/>
  <c r="C35" i="72" s="1"/>
  <c r="C68" i="72"/>
  <c r="E98" i="72"/>
  <c r="E68" i="72"/>
  <c r="D67" i="73" s="1"/>
  <c r="J98" i="72"/>
  <c r="J68" i="72"/>
  <c r="M98" i="72"/>
  <c r="M68" i="72"/>
  <c r="H98" i="72"/>
  <c r="H68" i="72"/>
  <c r="N98" i="72"/>
  <c r="N68" i="72"/>
  <c r="K98" i="72"/>
  <c r="K68" i="72"/>
  <c r="P135" i="71"/>
  <c r="P83" i="71"/>
  <c r="P33" i="72"/>
  <c r="P31" i="72"/>
  <c r="N94" i="72"/>
  <c r="N42" i="72"/>
  <c r="L71" i="74" l="1"/>
  <c r="B101" i="73"/>
  <c r="B67" i="73"/>
  <c r="K67" i="73"/>
  <c r="K101" i="73"/>
  <c r="F101" i="73"/>
  <c r="F67" i="73"/>
  <c r="E67" i="73"/>
  <c r="E101" i="73"/>
  <c r="I101" i="73"/>
  <c r="I67" i="73"/>
  <c r="H67" i="73"/>
  <c r="H101" i="73"/>
  <c r="J67" i="73"/>
  <c r="J101" i="73"/>
  <c r="G67" i="73"/>
  <c r="G101" i="73"/>
  <c r="D101" i="73"/>
  <c r="L101" i="73"/>
  <c r="L67" i="73"/>
  <c r="P68" i="72"/>
  <c r="P36" i="72"/>
  <c r="P98" i="72"/>
  <c r="P35" i="72"/>
  <c r="C42" i="72"/>
  <c r="C94" i="72"/>
  <c r="P94" i="72" s="1"/>
  <c r="K92" i="74" l="1"/>
  <c r="K65" i="74"/>
  <c r="E92" i="74"/>
  <c r="E65" i="74"/>
  <c r="F92" i="74"/>
  <c r="F65" i="74"/>
  <c r="I92" i="74"/>
  <c r="I65" i="74"/>
  <c r="G92" i="74"/>
  <c r="G65" i="74"/>
  <c r="H92" i="74"/>
  <c r="H65" i="74"/>
  <c r="B92" i="74"/>
  <c r="B65" i="74"/>
  <c r="D92" i="74"/>
  <c r="D65" i="74"/>
  <c r="J92" i="74"/>
  <c r="J65" i="74"/>
  <c r="M67" i="73"/>
  <c r="M101" i="73"/>
  <c r="P42" i="72"/>
  <c r="L65" i="74" l="1"/>
  <c r="L92" i="74"/>
  <c r="P72" i="72" l="1"/>
  <c r="P73" i="72"/>
  <c r="N115" i="66" l="1"/>
  <c r="P115" i="66" s="1"/>
  <c r="N46" i="66"/>
  <c r="P46" i="66" s="1"/>
  <c r="P116" i="66"/>
  <c r="N123" i="66" l="1"/>
  <c r="P122" i="66" l="1"/>
  <c r="P123" i="66" l="1"/>
  <c r="N124" i="66"/>
  <c r="P124" i="66" l="1"/>
  <c r="N53" i="66"/>
  <c r="P53" i="66" l="1"/>
  <c r="N60" i="66"/>
  <c r="N62" i="66" l="1"/>
  <c r="L39" i="63" l="1"/>
  <c r="O39" i="63"/>
  <c r="F39" i="63" l="1"/>
  <c r="I39" i="63"/>
  <c r="G39" i="63"/>
  <c r="H39" i="63"/>
  <c r="E39" i="63"/>
  <c r="D39" i="63"/>
  <c r="K39" i="63"/>
  <c r="J39" i="63" l="1"/>
  <c r="M39" i="63"/>
  <c r="N39" i="63"/>
  <c r="C39" i="63" l="1"/>
  <c r="B93" i="64" l="1"/>
  <c r="B42" i="64" l="1"/>
  <c r="B48" i="64" s="1"/>
  <c r="B50" i="64" s="1"/>
  <c r="M93" i="64" l="1"/>
  <c r="E93" i="64"/>
  <c r="H93" i="64"/>
  <c r="N93" i="64"/>
  <c r="I93" i="64"/>
  <c r="D93" i="64"/>
  <c r="D54" i="66" s="1"/>
  <c r="P54" i="66" l="1"/>
  <c r="D60" i="66"/>
  <c r="K93" i="64"/>
  <c r="K42" i="64" s="1"/>
  <c r="K48" i="64" s="1"/>
  <c r="K50" i="64" s="1"/>
  <c r="J93" i="64"/>
  <c r="J42" i="64" s="1"/>
  <c r="J48" i="64" s="1"/>
  <c r="J50" i="64" s="1"/>
  <c r="E42" i="64"/>
  <c r="E48" i="64" s="1"/>
  <c r="E50" i="64" s="1"/>
  <c r="D42" i="64"/>
  <c r="D48" i="64" s="1"/>
  <c r="D50" i="64" s="1"/>
  <c r="N42" i="64"/>
  <c r="N48" i="64" s="1"/>
  <c r="N50" i="64" s="1"/>
  <c r="M42" i="64"/>
  <c r="M48" i="64" s="1"/>
  <c r="M50" i="64" s="1"/>
  <c r="H42" i="64"/>
  <c r="H48" i="64" s="1"/>
  <c r="H50" i="64" s="1"/>
  <c r="I42" i="64"/>
  <c r="I48" i="64" s="1"/>
  <c r="I50" i="64" s="1"/>
  <c r="G93" i="64"/>
  <c r="L93" i="64"/>
  <c r="F93" i="64"/>
  <c r="O93" i="64"/>
  <c r="D62" i="66" l="1"/>
  <c r="P62" i="66" s="1"/>
  <c r="P60" i="66"/>
  <c r="P92" i="64"/>
  <c r="P91" i="64"/>
  <c r="C93" i="64"/>
  <c r="P93" i="64" s="1"/>
  <c r="F42" i="64"/>
  <c r="F48" i="64" s="1"/>
  <c r="F50" i="64" s="1"/>
  <c r="L42" i="64"/>
  <c r="L48" i="64" s="1"/>
  <c r="L50" i="64" s="1"/>
  <c r="O42" i="64"/>
  <c r="O48" i="64" s="1"/>
  <c r="O50" i="64" s="1"/>
  <c r="G42" i="64"/>
  <c r="G48" i="64" s="1"/>
  <c r="G50" i="64" s="1"/>
  <c r="C42" i="64" l="1"/>
  <c r="C48" i="64" l="1"/>
  <c r="P42" i="64"/>
  <c r="P48" i="64" l="1"/>
  <c r="C50" i="64"/>
  <c r="P50" i="64" s="1"/>
  <c r="B112" i="67" l="1"/>
  <c r="B50" i="67" l="1"/>
  <c r="B56" i="67" l="1"/>
  <c r="B58" i="67" l="1"/>
  <c r="P104" i="67" l="1"/>
  <c r="E112" i="67"/>
  <c r="K112" i="67"/>
  <c r="L112" i="67"/>
  <c r="L50" i="67" s="1"/>
  <c r="L56" i="67" s="1"/>
  <c r="L58" i="67" s="1"/>
  <c r="N112" i="67"/>
  <c r="J112" i="67" l="1"/>
  <c r="J50" i="67" s="1"/>
  <c r="J56" i="67" s="1"/>
  <c r="J58" i="67" s="1"/>
  <c r="H112" i="67"/>
  <c r="H50" i="67" s="1"/>
  <c r="H56" i="67" s="1"/>
  <c r="H58" i="67" s="1"/>
  <c r="F112" i="67"/>
  <c r="F50" i="67" s="1"/>
  <c r="F56" i="67" s="1"/>
  <c r="F58" i="67" s="1"/>
  <c r="C112" i="67"/>
  <c r="I112" i="67"/>
  <c r="D112" i="67"/>
  <c r="N50" i="67"/>
  <c r="N56" i="67" s="1"/>
  <c r="N58" i="67" s="1"/>
  <c r="K50" i="67"/>
  <c r="K56" i="67" s="1"/>
  <c r="K58" i="67" s="1"/>
  <c r="E50" i="67"/>
  <c r="E56" i="67" s="1"/>
  <c r="E58" i="67" s="1"/>
  <c r="G112" i="67"/>
  <c r="M112" i="67"/>
  <c r="O112" i="67"/>
  <c r="C50" i="67" l="1"/>
  <c r="C56" i="67" s="1"/>
  <c r="I50" i="67"/>
  <c r="I56" i="67" s="1"/>
  <c r="I58" i="67" s="1"/>
  <c r="P112" i="67"/>
  <c r="P111" i="67"/>
  <c r="D50" i="67"/>
  <c r="D56" i="67" s="1"/>
  <c r="D58" i="67" s="1"/>
  <c r="O50" i="67"/>
  <c r="O56" i="67" s="1"/>
  <c r="O58" i="67" s="1"/>
  <c r="M50" i="67"/>
  <c r="M56" i="67" s="1"/>
  <c r="M58" i="67" s="1"/>
  <c r="P110" i="67"/>
  <c r="G50" i="67"/>
  <c r="G56" i="67" s="1"/>
  <c r="G58" i="67" s="1"/>
  <c r="P56" i="67" l="1"/>
  <c r="C58" i="67"/>
  <c r="P58" i="67" s="1"/>
  <c r="P50" i="67"/>
  <c r="B102" i="68" l="1"/>
  <c r="B47" i="68" l="1"/>
  <c r="B53" i="68" l="1"/>
  <c r="B55" i="68" l="1"/>
  <c r="P94" i="68" l="1"/>
  <c r="F102" i="68"/>
  <c r="J102" i="68"/>
  <c r="E102" i="68"/>
  <c r="N102" i="68"/>
  <c r="L102" i="68"/>
  <c r="G102" i="68"/>
  <c r="H102" i="68" l="1"/>
  <c r="H47" i="68" s="1"/>
  <c r="H53" i="68" s="1"/>
  <c r="H55" i="68" s="1"/>
  <c r="K102" i="68"/>
  <c r="K47" i="68" s="1"/>
  <c r="K53" i="68" s="1"/>
  <c r="K55" i="68" s="1"/>
  <c r="I102" i="68"/>
  <c r="I47" i="68" s="1"/>
  <c r="I53" i="68" s="1"/>
  <c r="I55" i="68" s="1"/>
  <c r="N47" i="68"/>
  <c r="N53" i="68" s="1"/>
  <c r="N55" i="68" s="1"/>
  <c r="E47" i="68"/>
  <c r="E53" i="68" s="1"/>
  <c r="E55" i="68" s="1"/>
  <c r="J47" i="68"/>
  <c r="J53" i="68" s="1"/>
  <c r="J55" i="68" s="1"/>
  <c r="G47" i="68"/>
  <c r="G53" i="68" s="1"/>
  <c r="G55" i="68" s="1"/>
  <c r="L47" i="68"/>
  <c r="L53" i="68" s="1"/>
  <c r="L55" i="68" s="1"/>
  <c r="F47" i="68"/>
  <c r="F53" i="68" s="1"/>
  <c r="F55" i="68" s="1"/>
  <c r="O102" i="68"/>
  <c r="M102" i="68"/>
  <c r="O47" i="68" l="1"/>
  <c r="O53" i="68" s="1"/>
  <c r="O55" i="68" s="1"/>
  <c r="M47" i="68"/>
  <c r="M53" i="68" s="1"/>
  <c r="M55" i="68" s="1"/>
  <c r="P100" i="68"/>
  <c r="C102" i="68"/>
  <c r="P101" i="68" l="1"/>
  <c r="C47" i="68" l="1"/>
  <c r="P102" i="68"/>
  <c r="P47" i="68" l="1"/>
  <c r="C53" i="68"/>
  <c r="P53" i="68" l="1"/>
  <c r="C55" i="68"/>
  <c r="P55" i="68" s="1"/>
  <c r="B136" i="70" l="1"/>
  <c r="B55" i="70" l="1"/>
  <c r="B61" i="70" l="1"/>
  <c r="B63" i="70" l="1"/>
  <c r="P128" i="70" l="1"/>
  <c r="H136" i="70"/>
  <c r="O136" i="70"/>
  <c r="G136" i="70"/>
  <c r="K136" i="70"/>
  <c r="J136" i="70"/>
  <c r="I136" i="70"/>
  <c r="L136" i="70"/>
  <c r="M136" i="70"/>
  <c r="E136" i="70" l="1"/>
  <c r="E55" i="70" s="1"/>
  <c r="E61" i="70" s="1"/>
  <c r="E63" i="70" s="1"/>
  <c r="H55" i="70"/>
  <c r="H61" i="70" s="1"/>
  <c r="H63" i="70" s="1"/>
  <c r="N136" i="70"/>
  <c r="N55" i="70" s="1"/>
  <c r="N61" i="70" s="1"/>
  <c r="N63" i="70" s="1"/>
  <c r="K55" i="70"/>
  <c r="K61" i="70" s="1"/>
  <c r="K63" i="70" s="1"/>
  <c r="L55" i="70"/>
  <c r="L61" i="70" s="1"/>
  <c r="L63" i="70" s="1"/>
  <c r="G55" i="70"/>
  <c r="G61" i="70" s="1"/>
  <c r="G63" i="70" s="1"/>
  <c r="J55" i="70"/>
  <c r="J61" i="70" s="1"/>
  <c r="J63" i="70" s="1"/>
  <c r="O55" i="70"/>
  <c r="O61" i="70" s="1"/>
  <c r="O63" i="70" s="1"/>
  <c r="M55" i="70"/>
  <c r="M61" i="70" s="1"/>
  <c r="M63" i="70" s="1"/>
  <c r="I55" i="70"/>
  <c r="I61" i="70" s="1"/>
  <c r="I63" i="70" s="1"/>
  <c r="F136" i="70"/>
  <c r="F55" i="70" l="1"/>
  <c r="F61" i="70" s="1"/>
  <c r="F63" i="70" s="1"/>
  <c r="P134" i="70"/>
  <c r="P135" i="70" l="1"/>
  <c r="C136" i="70"/>
  <c r="P136" i="70" l="1"/>
  <c r="C55" i="70"/>
  <c r="P55" i="70" l="1"/>
  <c r="C61" i="70"/>
  <c r="P61" i="70" l="1"/>
  <c r="C63" i="70"/>
  <c r="P63" i="70" s="1"/>
  <c r="B139" i="71" l="1"/>
  <c r="B60" i="71" l="1"/>
  <c r="B66" i="71" l="1"/>
  <c r="B68" i="71" l="1"/>
  <c r="P131" i="71" l="1"/>
  <c r="E139" i="71"/>
  <c r="F139" i="71"/>
  <c r="L139" i="71"/>
  <c r="J139" i="71"/>
  <c r="I139" i="71" l="1"/>
  <c r="I60" i="71" s="1"/>
  <c r="I66" i="71" s="1"/>
  <c r="I68" i="71" s="1"/>
  <c r="K139" i="71"/>
  <c r="K60" i="71" s="1"/>
  <c r="K66" i="71" s="1"/>
  <c r="K68" i="71" s="1"/>
  <c r="M139" i="71"/>
  <c r="M60" i="71" s="1"/>
  <c r="M66" i="71" s="1"/>
  <c r="M68" i="71" s="1"/>
  <c r="G139" i="71"/>
  <c r="G60" i="71" s="1"/>
  <c r="G66" i="71" s="1"/>
  <c r="G68" i="71" s="1"/>
  <c r="H139" i="71"/>
  <c r="H60" i="71" s="1"/>
  <c r="H66" i="71" s="1"/>
  <c r="H68" i="71" s="1"/>
  <c r="O139" i="71"/>
  <c r="N139" i="71"/>
  <c r="N60" i="71" s="1"/>
  <c r="N66" i="71" s="1"/>
  <c r="N68" i="71" s="1"/>
  <c r="L60" i="71"/>
  <c r="L66" i="71" s="1"/>
  <c r="L68" i="71" s="1"/>
  <c r="E60" i="71"/>
  <c r="E66" i="71" s="1"/>
  <c r="E68" i="71" s="1"/>
  <c r="F60" i="71"/>
  <c r="F66" i="71" s="1"/>
  <c r="F68" i="71" s="1"/>
  <c r="D139" i="71"/>
  <c r="D60" i="71" s="1"/>
  <c r="J60" i="71"/>
  <c r="J66" i="71" s="1"/>
  <c r="J68" i="71" s="1"/>
  <c r="O60" i="71" l="1"/>
  <c r="O66" i="71" s="1"/>
  <c r="O68" i="71" s="1"/>
  <c r="P137" i="71"/>
  <c r="D66" i="71"/>
  <c r="D68" i="71" s="1"/>
  <c r="C139" i="71" l="1"/>
  <c r="P138" i="71"/>
  <c r="C60" i="71" l="1"/>
  <c r="P139" i="71"/>
  <c r="C66" i="71" l="1"/>
  <c r="P60" i="71"/>
  <c r="P66" i="71" l="1"/>
  <c r="C68" i="71"/>
  <c r="P68" i="71" s="1"/>
  <c r="B99" i="72"/>
  <c r="B101" i="72" l="1"/>
  <c r="B102" i="72" l="1"/>
  <c r="B103" i="72" l="1"/>
  <c r="B109" i="72" s="1"/>
  <c r="B110" i="72" l="1"/>
  <c r="B49" i="72"/>
  <c r="B55" i="72" l="1"/>
  <c r="B112" i="72"/>
  <c r="B111" i="72"/>
  <c r="B57" i="72" l="1"/>
  <c r="B113" i="72"/>
  <c r="P95" i="72" l="1"/>
  <c r="H99" i="72"/>
  <c r="J99" i="72"/>
  <c r="J101" i="72" s="1"/>
  <c r="J102" i="72" s="1"/>
  <c r="G99" i="72"/>
  <c r="F99" i="72"/>
  <c r="F101" i="72"/>
  <c r="F102" i="72" s="1"/>
  <c r="L99" i="72"/>
  <c r="L101" i="72" s="1"/>
  <c r="L102" i="72" s="1"/>
  <c r="N99" i="72"/>
  <c r="D99" i="72"/>
  <c r="D101" i="72" s="1"/>
  <c r="D102" i="72" s="1"/>
  <c r="M99" i="72"/>
  <c r="I99" i="72"/>
  <c r="I101" i="72" s="1"/>
  <c r="I102" i="72" s="1"/>
  <c r="I103" i="72" s="1"/>
  <c r="K99" i="72"/>
  <c r="K101" i="72" s="1"/>
  <c r="K102" i="72" s="1"/>
  <c r="O99" i="72"/>
  <c r="C99" i="72"/>
  <c r="C101" i="72" s="1"/>
  <c r="C102" i="72" s="1"/>
  <c r="E99" i="72"/>
  <c r="E101" i="72" s="1"/>
  <c r="E102" i="72" s="1"/>
  <c r="E103" i="72" s="1"/>
  <c r="M101" i="72" l="1"/>
  <c r="M102" i="72" s="1"/>
  <c r="M103" i="72" s="1"/>
  <c r="M109" i="72" s="1"/>
  <c r="M110" i="72" s="1"/>
  <c r="I49" i="72"/>
  <c r="I55" i="72" s="1"/>
  <c r="I57" i="72" s="1"/>
  <c r="D103" i="72"/>
  <c r="D109" i="72" s="1"/>
  <c r="D110" i="72" s="1"/>
  <c r="E49" i="72"/>
  <c r="E55" i="72" s="1"/>
  <c r="E57" i="72" s="1"/>
  <c r="F103" i="72"/>
  <c r="F109" i="72" s="1"/>
  <c r="F110" i="72" s="1"/>
  <c r="G101" i="72"/>
  <c r="G102" i="72" s="1"/>
  <c r="N101" i="72"/>
  <c r="N102" i="72" s="1"/>
  <c r="J103" i="72"/>
  <c r="P99" i="72"/>
  <c r="H101" i="72"/>
  <c r="H102" i="72" s="1"/>
  <c r="I109" i="72"/>
  <c r="I110" i="72" s="1"/>
  <c r="E109" i="72"/>
  <c r="E110" i="72" s="1"/>
  <c r="C103" i="72"/>
  <c r="C109" i="72" s="1"/>
  <c r="O101" i="72"/>
  <c r="O102" i="72" s="1"/>
  <c r="K103" i="72"/>
  <c r="L103" i="72"/>
  <c r="M111" i="72" l="1"/>
  <c r="M112" i="72"/>
  <c r="J49" i="72"/>
  <c r="J55" i="72" s="1"/>
  <c r="J57" i="72" s="1"/>
  <c r="C110" i="72"/>
  <c r="K49" i="72"/>
  <c r="K55" i="72" s="1"/>
  <c r="K57" i="72" s="1"/>
  <c r="I111" i="72"/>
  <c r="I112" i="72"/>
  <c r="I113" i="72" s="1"/>
  <c r="K109" i="72"/>
  <c r="K110" i="72" s="1"/>
  <c r="N103" i="72"/>
  <c r="G103" i="72"/>
  <c r="G109" i="72" s="1"/>
  <c r="G110" i="72" s="1"/>
  <c r="L49" i="72"/>
  <c r="L55" i="72" s="1"/>
  <c r="L57" i="72" s="1"/>
  <c r="M49" i="72"/>
  <c r="M55" i="72" s="1"/>
  <c r="M57" i="72" s="1"/>
  <c r="D112" i="72"/>
  <c r="D113" i="72" s="1"/>
  <c r="D111" i="72"/>
  <c r="O103" i="72"/>
  <c r="O109" i="72" s="1"/>
  <c r="O110" i="72" s="1"/>
  <c r="F49" i="72"/>
  <c r="F55" i="72" s="1"/>
  <c r="F57" i="72" s="1"/>
  <c r="P101" i="72"/>
  <c r="E112" i="72"/>
  <c r="E113" i="72" s="1"/>
  <c r="E111" i="72"/>
  <c r="L109" i="72"/>
  <c r="L110" i="72" s="1"/>
  <c r="C49" i="72"/>
  <c r="H103" i="72"/>
  <c r="J109" i="72"/>
  <c r="J110" i="72" s="1"/>
  <c r="P102" i="72"/>
  <c r="F111" i="72"/>
  <c r="F112" i="72"/>
  <c r="F113" i="72" s="1"/>
  <c r="D49" i="72"/>
  <c r="D55" i="72" s="1"/>
  <c r="D57" i="72" s="1"/>
  <c r="P103" i="72" l="1"/>
  <c r="G111" i="72"/>
  <c r="G112" i="72"/>
  <c r="G113" i="72" s="1"/>
  <c r="J112" i="72"/>
  <c r="J113" i="72" s="1"/>
  <c r="J111" i="72"/>
  <c r="G49" i="72"/>
  <c r="G55" i="72" s="1"/>
  <c r="G57" i="72" s="1"/>
  <c r="O111" i="72"/>
  <c r="O112" i="72"/>
  <c r="O113" i="72" s="1"/>
  <c r="H49" i="72"/>
  <c r="H55" i="72" s="1"/>
  <c r="H57" i="72" s="1"/>
  <c r="N49" i="72"/>
  <c r="N55" i="72" s="1"/>
  <c r="N57" i="72" s="1"/>
  <c r="C112" i="72"/>
  <c r="C111" i="72"/>
  <c r="K112" i="72"/>
  <c r="K113" i="72" s="1"/>
  <c r="K111" i="72"/>
  <c r="C55" i="72"/>
  <c r="H109" i="72"/>
  <c r="H110" i="72" s="1"/>
  <c r="L111" i="72"/>
  <c r="L112" i="72"/>
  <c r="L113" i="72" s="1"/>
  <c r="O49" i="72"/>
  <c r="O55" i="72" s="1"/>
  <c r="O57" i="72" s="1"/>
  <c r="N109" i="72"/>
  <c r="N110" i="72" s="1"/>
  <c r="N111" i="72" l="1"/>
  <c r="N112" i="72"/>
  <c r="N113" i="72" s="1"/>
  <c r="P55" i="72"/>
  <c r="C57" i="72"/>
  <c r="P57" i="72" s="1"/>
  <c r="P110" i="72"/>
  <c r="P109" i="72"/>
  <c r="H112" i="72"/>
  <c r="H113" i="72" s="1"/>
  <c r="H111" i="72"/>
  <c r="P49" i="72"/>
  <c r="C113" i="72"/>
  <c r="P111" i="72" l="1"/>
  <c r="P112" i="72"/>
  <c r="P113" i="72"/>
  <c r="B102" i="73"/>
  <c r="B104" i="73" s="1"/>
  <c r="B105" i="73" s="1"/>
  <c r="B106" i="73" s="1"/>
  <c r="B48" i="73" l="1"/>
  <c r="B54" i="73" l="1"/>
  <c r="B56" i="73" l="1"/>
  <c r="B57" i="73"/>
  <c r="B47" i="74" l="1"/>
  <c r="M98" i="73" l="1"/>
  <c r="D102" i="73"/>
  <c r="D104" i="73"/>
  <c r="D105" i="73" s="1"/>
  <c r="D106" i="73" s="1"/>
  <c r="G102" i="73"/>
  <c r="G104" i="73" s="1"/>
  <c r="G105" i="73" s="1"/>
  <c r="G106" i="73" s="1"/>
  <c r="I102" i="73"/>
  <c r="C102" i="73"/>
  <c r="K102" i="73"/>
  <c r="K104" i="73" s="1"/>
  <c r="K105" i="73" s="1"/>
  <c r="L102" i="73"/>
  <c r="E102" i="73"/>
  <c r="F102" i="73"/>
  <c r="F104" i="73" s="1"/>
  <c r="F105" i="73" s="1"/>
  <c r="F106" i="73" s="1"/>
  <c r="J102" i="73"/>
  <c r="H102" i="73"/>
  <c r="H104" i="73" s="1"/>
  <c r="H105" i="73" s="1"/>
  <c r="H106" i="73" s="1"/>
  <c r="L104" i="73" l="1"/>
  <c r="L105" i="73" s="1"/>
  <c r="L106" i="73" s="1"/>
  <c r="I104" i="73"/>
  <c r="I105" i="73" s="1"/>
  <c r="I106" i="73" s="1"/>
  <c r="E104" i="73"/>
  <c r="E105" i="73" s="1"/>
  <c r="E106" i="73" s="1"/>
  <c r="M102" i="73"/>
  <c r="G48" i="73"/>
  <c r="G54" i="73" s="1"/>
  <c r="H48" i="73"/>
  <c r="H54" i="73" s="1"/>
  <c r="F48" i="73"/>
  <c r="F54" i="73" s="1"/>
  <c r="D48" i="73"/>
  <c r="D54" i="73" s="1"/>
  <c r="J99" i="74"/>
  <c r="L99" i="74" s="1"/>
  <c r="K106" i="73"/>
  <c r="C104" i="73"/>
  <c r="J104" i="73"/>
  <c r="J105" i="73" s="1"/>
  <c r="J106" i="73" s="1"/>
  <c r="L48" i="73" l="1"/>
  <c r="L54" i="73" s="1"/>
  <c r="L56" i="73" s="1"/>
  <c r="I48" i="73"/>
  <c r="I54" i="73" s="1"/>
  <c r="I56" i="73" s="1"/>
  <c r="E48" i="73"/>
  <c r="E54" i="73" s="1"/>
  <c r="E56" i="73" s="1"/>
  <c r="C105" i="73"/>
  <c r="M104" i="73"/>
  <c r="H57" i="73"/>
  <c r="H47" i="74" s="1"/>
  <c r="H56" i="73"/>
  <c r="F57" i="73"/>
  <c r="F47" i="74" s="1"/>
  <c r="F56" i="73"/>
  <c r="I57" i="73"/>
  <c r="K48" i="73"/>
  <c r="K54" i="73" s="1"/>
  <c r="D57" i="73"/>
  <c r="D56" i="73"/>
  <c r="G57" i="73"/>
  <c r="G47" i="74" s="1"/>
  <c r="G56" i="73"/>
  <c r="J48" i="73"/>
  <c r="L57" i="73" l="1"/>
  <c r="E57" i="73"/>
  <c r="E47" i="74" s="1"/>
  <c r="K56" i="73"/>
  <c r="K57" i="73"/>
  <c r="K47" i="74" s="1"/>
  <c r="C106" i="73"/>
  <c r="M105" i="73"/>
  <c r="M106" i="73" l="1"/>
  <c r="C48" i="73"/>
  <c r="M48" i="73" l="1"/>
  <c r="C54" i="73"/>
  <c r="C57" i="73" l="1"/>
  <c r="C56" i="73"/>
  <c r="C47" i="74" l="1"/>
  <c r="B93" i="74" l="1"/>
  <c r="B98" i="74" s="1"/>
  <c r="B95" i="74" l="1"/>
  <c r="B96" i="74" l="1"/>
  <c r="B97" i="74" l="1"/>
  <c r="B100" i="74" l="1"/>
  <c r="B46" i="74"/>
  <c r="B51" i="74" l="1"/>
  <c r="B53" i="74" l="1"/>
  <c r="L89" i="74"/>
  <c r="E93" i="74"/>
  <c r="E98" i="74" s="1"/>
  <c r="H93" i="74"/>
  <c r="H98" i="74" s="1"/>
  <c r="G93" i="74"/>
  <c r="G98" i="74" s="1"/>
  <c r="G95" i="74"/>
  <c r="G96" i="74" s="1"/>
  <c r="G97" i="74" s="1"/>
  <c r="D93" i="74"/>
  <c r="D98" i="74" s="1"/>
  <c r="D95" i="74"/>
  <c r="D96" i="74" s="1"/>
  <c r="D97" i="74" s="1"/>
  <c r="J93" i="74"/>
  <c r="J98" i="74" s="1"/>
  <c r="F93" i="74"/>
  <c r="F98" i="74" s="1"/>
  <c r="C93" i="74"/>
  <c r="C95" i="74" s="1"/>
  <c r="K93" i="74"/>
  <c r="K95" i="74" s="1"/>
  <c r="K96" i="74" s="1"/>
  <c r="K97" i="74" s="1"/>
  <c r="I93" i="74"/>
  <c r="I98" i="74" s="1"/>
  <c r="E95" i="74" l="1"/>
  <c r="E96" i="74" s="1"/>
  <c r="E97" i="74" s="1"/>
  <c r="E100" i="74" s="1"/>
  <c r="D100" i="74"/>
  <c r="D46" i="74"/>
  <c r="D51" i="74" s="1"/>
  <c r="D53" i="74" s="1"/>
  <c r="G46" i="74"/>
  <c r="G51" i="74" s="1"/>
  <c r="G53" i="74" s="1"/>
  <c r="G100" i="74"/>
  <c r="K100" i="74"/>
  <c r="K46" i="74"/>
  <c r="K51" i="74" s="1"/>
  <c r="K53" i="74" s="1"/>
  <c r="C96" i="74"/>
  <c r="F95" i="74"/>
  <c r="F96" i="74" s="1"/>
  <c r="F97" i="74" s="1"/>
  <c r="C98" i="74"/>
  <c r="I95" i="74"/>
  <c r="I96" i="74" s="1"/>
  <c r="I97" i="74" s="1"/>
  <c r="J95" i="74"/>
  <c r="J96" i="74" s="1"/>
  <c r="J97" i="74" s="1"/>
  <c r="K98" i="74"/>
  <c r="L93" i="74"/>
  <c r="H95" i="74"/>
  <c r="H96" i="74" s="1"/>
  <c r="H97" i="74" s="1"/>
  <c r="E46" i="74" l="1"/>
  <c r="E51" i="74" s="1"/>
  <c r="E53" i="74" s="1"/>
  <c r="L98" i="74"/>
  <c r="F100" i="74"/>
  <c r="F46" i="74"/>
  <c r="F51" i="74" s="1"/>
  <c r="F53" i="74" s="1"/>
  <c r="J100" i="74"/>
  <c r="J46" i="74"/>
  <c r="J51" i="74" s="1"/>
  <c r="J53" i="74" s="1"/>
  <c r="L96" i="74"/>
  <c r="C97" i="74"/>
  <c r="H100" i="74"/>
  <c r="H46" i="74"/>
  <c r="H51" i="74" s="1"/>
  <c r="H53" i="74" s="1"/>
  <c r="I100" i="74"/>
  <c r="I46" i="74"/>
  <c r="L95" i="74"/>
  <c r="C100" i="74" l="1"/>
  <c r="L100" i="74" s="1"/>
  <c r="L97" i="74"/>
  <c r="C46" i="74"/>
  <c r="C51" i="74" l="1"/>
  <c r="L46" i="74"/>
  <c r="C53" i="74" l="1"/>
  <c r="B51" i="50" l="1"/>
  <c r="B110" i="50" l="1"/>
  <c r="B100" i="75" s="1"/>
  <c r="B63" i="50"/>
  <c r="B65" i="50" l="1"/>
  <c r="B66" i="50"/>
  <c r="B47" i="75" s="1"/>
  <c r="B53" i="75" s="1"/>
  <c r="B55" i="75" l="1"/>
  <c r="B40" i="63"/>
  <c r="P100" i="50" l="1"/>
  <c r="O104" i="72"/>
  <c r="L108" i="73" s="1"/>
  <c r="K144" i="74" s="1"/>
  <c r="K149" i="74" s="1"/>
  <c r="K150" i="74" s="1"/>
  <c r="K151" i="74" s="1"/>
  <c r="K152" i="74" s="1"/>
  <c r="E104" i="72"/>
  <c r="D108" i="73" s="1"/>
  <c r="I110" i="50" l="1"/>
  <c r="I51" i="50"/>
  <c r="I63" i="50" s="1"/>
  <c r="K104" i="72"/>
  <c r="I108" i="73" s="1"/>
  <c r="H144" i="74" s="1"/>
  <c r="H149" i="74" s="1"/>
  <c r="H150" i="74" s="1"/>
  <c r="H151" i="74" s="1"/>
  <c r="H152" i="74" s="1"/>
  <c r="M104" i="72"/>
  <c r="K108" i="73" s="1"/>
  <c r="J144" i="74" s="1"/>
  <c r="J149" i="74" s="1"/>
  <c r="J150" i="74" s="1"/>
  <c r="J151" i="74" s="1"/>
  <c r="J152" i="74" s="1"/>
  <c r="G104" i="72"/>
  <c r="F108" i="73" s="1"/>
  <c r="E144" i="74" s="1"/>
  <c r="E149" i="74" s="1"/>
  <c r="E150" i="74" s="1"/>
  <c r="E151" i="74" s="1"/>
  <c r="E152" i="74" s="1"/>
  <c r="L110" i="50"/>
  <c r="L51" i="50"/>
  <c r="L63" i="50" s="1"/>
  <c r="D110" i="50"/>
  <c r="D51" i="50"/>
  <c r="D63" i="50" s="1"/>
  <c r="J104" i="72"/>
  <c r="H108" i="73" s="1"/>
  <c r="G144" i="74" s="1"/>
  <c r="G149" i="74" s="1"/>
  <c r="G150" i="74" s="1"/>
  <c r="G151" i="74" s="1"/>
  <c r="G152" i="74" s="1"/>
  <c r="H104" i="72"/>
  <c r="F110" i="50"/>
  <c r="F51" i="50"/>
  <c r="F63" i="50" s="1"/>
  <c r="D104" i="72"/>
  <c r="C108" i="73" s="1"/>
  <c r="I104" i="72"/>
  <c r="G108" i="73" s="1"/>
  <c r="F144" i="74" s="1"/>
  <c r="F149" i="74" s="1"/>
  <c r="F150" i="74" s="1"/>
  <c r="F151" i="74" s="1"/>
  <c r="F152" i="74" s="1"/>
  <c r="F104" i="72"/>
  <c r="E108" i="73" s="1"/>
  <c r="D144" i="74" s="1"/>
  <c r="D149" i="74" s="1"/>
  <c r="D150" i="74" s="1"/>
  <c r="D151" i="74" s="1"/>
  <c r="D152" i="74" s="1"/>
  <c r="L104" i="72"/>
  <c r="J108" i="73" s="1"/>
  <c r="I144" i="74" s="1"/>
  <c r="I149" i="74" s="1"/>
  <c r="I150" i="74" s="1"/>
  <c r="I151" i="74" s="1"/>
  <c r="I152" i="74" s="1"/>
  <c r="N104" i="72"/>
  <c r="F91" i="63" l="1"/>
  <c r="F95" i="64" s="1"/>
  <c r="F126" i="66" s="1"/>
  <c r="F114" i="67" s="1"/>
  <c r="F104" i="68" s="1"/>
  <c r="F138" i="70" s="1"/>
  <c r="F141" i="71" s="1"/>
  <c r="F105" i="72" s="1"/>
  <c r="E109" i="73" s="1"/>
  <c r="D145" i="74" s="1"/>
  <c r="D153" i="74" s="1"/>
  <c r="F100" i="75"/>
  <c r="L91" i="63"/>
  <c r="L95" i="64" s="1"/>
  <c r="L126" i="66" s="1"/>
  <c r="L114" i="67" s="1"/>
  <c r="L104" i="68" s="1"/>
  <c r="L138" i="70" s="1"/>
  <c r="L141" i="71" s="1"/>
  <c r="L105" i="72" s="1"/>
  <c r="J107" i="73" s="1"/>
  <c r="J49" i="73" s="1"/>
  <c r="L100" i="75"/>
  <c r="I91" i="63"/>
  <c r="I95" i="64" s="1"/>
  <c r="I126" i="66" s="1"/>
  <c r="I114" i="67" s="1"/>
  <c r="I104" i="68" s="1"/>
  <c r="I138" i="70" s="1"/>
  <c r="I141" i="71" s="1"/>
  <c r="I105" i="72" s="1"/>
  <c r="G109" i="73" s="1"/>
  <c r="F145" i="74" s="1"/>
  <c r="F153" i="74" s="1"/>
  <c r="I100" i="75"/>
  <c r="D91" i="63"/>
  <c r="D95" i="64" s="1"/>
  <c r="D126" i="66" s="1"/>
  <c r="D114" i="67" s="1"/>
  <c r="D100" i="75"/>
  <c r="G51" i="50"/>
  <c r="G63" i="50" s="1"/>
  <c r="N110" i="50"/>
  <c r="N51" i="50"/>
  <c r="N63" i="50" s="1"/>
  <c r="P107" i="50"/>
  <c r="K110" i="50"/>
  <c r="K51" i="50"/>
  <c r="K63" i="50" s="1"/>
  <c r="F66" i="50"/>
  <c r="F65" i="50"/>
  <c r="L66" i="50"/>
  <c r="L65" i="50"/>
  <c r="J110" i="50"/>
  <c r="J51" i="50"/>
  <c r="J63" i="50" s="1"/>
  <c r="I65" i="50"/>
  <c r="I66" i="50"/>
  <c r="O110" i="50"/>
  <c r="O51" i="50"/>
  <c r="O63" i="50" s="1"/>
  <c r="E110" i="50"/>
  <c r="E51" i="50"/>
  <c r="E63" i="50" s="1"/>
  <c r="C144" i="74"/>
  <c r="C149" i="74" s="1"/>
  <c r="C150" i="74" s="1"/>
  <c r="C151" i="74" s="1"/>
  <c r="C152" i="74" s="1"/>
  <c r="H110" i="50"/>
  <c r="H51" i="50"/>
  <c r="H63" i="50" s="1"/>
  <c r="D66" i="50"/>
  <c r="D65" i="50"/>
  <c r="M51" i="50"/>
  <c r="M63" i="50" s="1"/>
  <c r="M110" i="50"/>
  <c r="J109" i="73" l="1"/>
  <c r="I145" i="74" s="1"/>
  <c r="I153" i="74" s="1"/>
  <c r="N91" i="63"/>
  <c r="N95" i="64" s="1"/>
  <c r="N126" i="66" s="1"/>
  <c r="N114" i="67" s="1"/>
  <c r="N104" i="68" s="1"/>
  <c r="N138" i="70" s="1"/>
  <c r="N141" i="71" s="1"/>
  <c r="N105" i="72" s="1"/>
  <c r="N100" i="75"/>
  <c r="D40" i="63"/>
  <c r="D46" i="63" s="1"/>
  <c r="D48" i="63" s="1"/>
  <c r="D47" i="75"/>
  <c r="I40" i="63"/>
  <c r="I46" i="63" s="1"/>
  <c r="I48" i="63" s="1"/>
  <c r="I47" i="75"/>
  <c r="I53" i="75" s="1"/>
  <c r="I55" i="75" s="1"/>
  <c r="M107" i="73"/>
  <c r="L40" i="63"/>
  <c r="L46" i="63" s="1"/>
  <c r="L48" i="63" s="1"/>
  <c r="L47" i="75"/>
  <c r="L53" i="75" s="1"/>
  <c r="L55" i="75" s="1"/>
  <c r="K91" i="63"/>
  <c r="K95" i="64" s="1"/>
  <c r="K126" i="66" s="1"/>
  <c r="K114" i="67" s="1"/>
  <c r="K104" i="68" s="1"/>
  <c r="K138" i="70" s="1"/>
  <c r="K141" i="71" s="1"/>
  <c r="K105" i="72" s="1"/>
  <c r="I109" i="73" s="1"/>
  <c r="H145" i="74" s="1"/>
  <c r="H153" i="74" s="1"/>
  <c r="K100" i="75"/>
  <c r="D104" i="68"/>
  <c r="D138" i="70" s="1"/>
  <c r="D141" i="71" s="1"/>
  <c r="D105" i="72" s="1"/>
  <c r="C109" i="73" s="1"/>
  <c r="C145" i="74" s="1"/>
  <c r="C153" i="74" s="1"/>
  <c r="M91" i="63"/>
  <c r="M95" i="64" s="1"/>
  <c r="M126" i="66" s="1"/>
  <c r="M114" i="67" s="1"/>
  <c r="M104" i="68" s="1"/>
  <c r="M138" i="70" s="1"/>
  <c r="M141" i="71" s="1"/>
  <c r="M105" i="72" s="1"/>
  <c r="K109" i="73" s="1"/>
  <c r="J145" i="74" s="1"/>
  <c r="J153" i="74" s="1"/>
  <c r="M100" i="75"/>
  <c r="E91" i="63"/>
  <c r="E95" i="64" s="1"/>
  <c r="E126" i="66" s="1"/>
  <c r="E114" i="67" s="1"/>
  <c r="E104" i="68" s="1"/>
  <c r="E138" i="70" s="1"/>
  <c r="E141" i="71" s="1"/>
  <c r="E105" i="72" s="1"/>
  <c r="D109" i="73" s="1"/>
  <c r="E100" i="75"/>
  <c r="H91" i="63"/>
  <c r="H95" i="64" s="1"/>
  <c r="H126" i="66" s="1"/>
  <c r="H114" i="67" s="1"/>
  <c r="H104" i="68" s="1"/>
  <c r="H138" i="70" s="1"/>
  <c r="H141" i="71" s="1"/>
  <c r="H105" i="72" s="1"/>
  <c r="H100" i="75"/>
  <c r="J91" i="63"/>
  <c r="J95" i="64" s="1"/>
  <c r="J126" i="66" s="1"/>
  <c r="J114" i="67" s="1"/>
  <c r="J104" i="68" s="1"/>
  <c r="J138" i="70" s="1"/>
  <c r="J141" i="71" s="1"/>
  <c r="J105" i="72" s="1"/>
  <c r="H109" i="73" s="1"/>
  <c r="G145" i="74" s="1"/>
  <c r="G153" i="74" s="1"/>
  <c r="J100" i="75"/>
  <c r="F40" i="63"/>
  <c r="F46" i="63" s="1"/>
  <c r="F48" i="63" s="1"/>
  <c r="F47" i="75"/>
  <c r="F53" i="75" s="1"/>
  <c r="F55" i="75" s="1"/>
  <c r="O91" i="63"/>
  <c r="O95" i="64" s="1"/>
  <c r="O126" i="66" s="1"/>
  <c r="O114" i="67" s="1"/>
  <c r="O104" i="68" s="1"/>
  <c r="O138" i="70" s="1"/>
  <c r="O141" i="71" s="1"/>
  <c r="O105" i="72" s="1"/>
  <c r="L109" i="73" s="1"/>
  <c r="K145" i="74" s="1"/>
  <c r="K153" i="74" s="1"/>
  <c r="O100" i="75"/>
  <c r="G110" i="50"/>
  <c r="C51" i="50"/>
  <c r="P51" i="50" s="1"/>
  <c r="M49" i="73"/>
  <c r="J54" i="73"/>
  <c r="P109" i="50"/>
  <c r="O66" i="50"/>
  <c r="O65" i="50"/>
  <c r="J65" i="50"/>
  <c r="J66" i="50"/>
  <c r="H65" i="50"/>
  <c r="H66" i="50"/>
  <c r="E65" i="50"/>
  <c r="E66" i="50"/>
  <c r="K65" i="50"/>
  <c r="K66" i="50"/>
  <c r="M65" i="50"/>
  <c r="M66" i="50"/>
  <c r="G66" i="50"/>
  <c r="G65" i="50"/>
  <c r="N65" i="50"/>
  <c r="N66" i="50"/>
  <c r="D53" i="75" l="1"/>
  <c r="D55" i="75" s="1"/>
  <c r="N40" i="63"/>
  <c r="N46" i="63" s="1"/>
  <c r="N48" i="63" s="1"/>
  <c r="N47" i="75"/>
  <c r="N53" i="75" s="1"/>
  <c r="N55" i="75" s="1"/>
  <c r="M40" i="63"/>
  <c r="M46" i="63" s="1"/>
  <c r="M48" i="63" s="1"/>
  <c r="M47" i="75"/>
  <c r="M53" i="75" s="1"/>
  <c r="M55" i="75" s="1"/>
  <c r="E40" i="63"/>
  <c r="E46" i="63" s="1"/>
  <c r="E48" i="63" s="1"/>
  <c r="E47" i="75"/>
  <c r="E53" i="75" s="1"/>
  <c r="E55" i="75" s="1"/>
  <c r="J40" i="63"/>
  <c r="J46" i="63" s="1"/>
  <c r="J48" i="63" s="1"/>
  <c r="J47" i="75"/>
  <c r="J53" i="75" s="1"/>
  <c r="J55" i="75" s="1"/>
  <c r="G40" i="63"/>
  <c r="G46" i="63" s="1"/>
  <c r="G48" i="63" s="1"/>
  <c r="G47" i="75"/>
  <c r="G53" i="75" s="1"/>
  <c r="G55" i="75" s="1"/>
  <c r="O40" i="63"/>
  <c r="O46" i="63" s="1"/>
  <c r="O48" i="63" s="1"/>
  <c r="O47" i="75"/>
  <c r="O53" i="75" s="1"/>
  <c r="O55" i="75" s="1"/>
  <c r="K40" i="63"/>
  <c r="K46" i="63" s="1"/>
  <c r="K48" i="63" s="1"/>
  <c r="K47" i="75"/>
  <c r="K53" i="75" s="1"/>
  <c r="K55" i="75" s="1"/>
  <c r="H40" i="63"/>
  <c r="H46" i="63" s="1"/>
  <c r="H48" i="63" s="1"/>
  <c r="H47" i="75"/>
  <c r="H53" i="75" s="1"/>
  <c r="H55" i="75" s="1"/>
  <c r="G91" i="63"/>
  <c r="G95" i="64" s="1"/>
  <c r="G126" i="66" s="1"/>
  <c r="G114" i="67" s="1"/>
  <c r="G104" i="68" s="1"/>
  <c r="G138" i="70" s="1"/>
  <c r="G141" i="71" s="1"/>
  <c r="G105" i="72" s="1"/>
  <c r="F109" i="73" s="1"/>
  <c r="E145" i="74" s="1"/>
  <c r="E153" i="74" s="1"/>
  <c r="G100" i="75"/>
  <c r="P108" i="50"/>
  <c r="C110" i="50"/>
  <c r="C63" i="50"/>
  <c r="M54" i="73"/>
  <c r="J56" i="73"/>
  <c r="M56" i="73" s="1"/>
  <c r="J57" i="73"/>
  <c r="P110" i="50" l="1"/>
  <c r="C100" i="75"/>
  <c r="P100" i="75" s="1"/>
  <c r="C91" i="63"/>
  <c r="C66" i="50"/>
  <c r="C47" i="75" s="1"/>
  <c r="C65" i="50"/>
  <c r="P65" i="50" s="1"/>
  <c r="P63" i="50"/>
  <c r="I47" i="74"/>
  <c r="M57" i="73"/>
  <c r="C53" i="75" l="1"/>
  <c r="P47" i="75"/>
  <c r="C95" i="64"/>
  <c r="L47" i="74"/>
  <c r="I51" i="74"/>
  <c r="P66" i="50"/>
  <c r="C40" i="63"/>
  <c r="P40" i="63" s="1"/>
  <c r="C55" i="75" l="1"/>
  <c r="P55" i="75" s="1"/>
  <c r="P53" i="75"/>
  <c r="C126" i="66"/>
  <c r="C114" i="67" s="1"/>
  <c r="C46" i="63"/>
  <c r="L51" i="74"/>
  <c r="I53" i="74"/>
  <c r="L53" i="74" s="1"/>
  <c r="C104" i="68" l="1"/>
  <c r="C48" i="63"/>
  <c r="C138" i="70" l="1"/>
  <c r="C141" i="71" l="1"/>
  <c r="C104" i="72"/>
  <c r="C105" i="72" l="1"/>
  <c r="P90" i="25"/>
  <c r="P81" i="63"/>
  <c r="P87" i="63"/>
  <c r="B90" i="63"/>
  <c r="B94" i="64" s="1"/>
  <c r="B125" i="66" s="1"/>
  <c r="B113" i="67" s="1"/>
  <c r="B103" i="68" s="1"/>
  <c r="B137" i="70" s="1"/>
  <c r="B140" i="71" s="1"/>
  <c r="P94" i="64" l="1"/>
  <c r="P88" i="63"/>
  <c r="P90" i="63"/>
  <c r="P89" i="63" l="1"/>
  <c r="B39" i="63"/>
  <c r="B91" i="63"/>
  <c r="P125" i="66"/>
  <c r="P91" i="63" l="1"/>
  <c r="B95" i="64"/>
  <c r="B46" i="63"/>
  <c r="P39" i="63"/>
  <c r="P113" i="67"/>
  <c r="P103" i="68" l="1"/>
  <c r="B126" i="66"/>
  <c r="P95" i="64"/>
  <c r="P46" i="63"/>
  <c r="B48" i="63"/>
  <c r="P48" i="63" s="1"/>
  <c r="P137" i="70" l="1"/>
  <c r="B114" i="67"/>
  <c r="P126" i="66"/>
  <c r="B104" i="68" l="1"/>
  <c r="P114" i="67"/>
  <c r="P140" i="71"/>
  <c r="B104" i="72"/>
  <c r="B108" i="73" l="1"/>
  <c r="P104" i="72"/>
  <c r="P104" i="68"/>
  <c r="B138" i="70"/>
  <c r="B141" i="71" l="1"/>
  <c r="P138" i="70"/>
  <c r="M108" i="73"/>
  <c r="B144" i="74"/>
  <c r="B149" i="74" s="1"/>
  <c r="B150" i="74" s="1"/>
  <c r="B151" i="74" s="1"/>
  <c r="B152" i="74" s="1"/>
  <c r="B105" i="72" l="1"/>
  <c r="P141" i="71"/>
  <c r="P105" i="72" l="1"/>
  <c r="B109" i="73"/>
  <c r="M109" i="73" l="1"/>
  <c r="B145" i="74"/>
  <c r="B153" i="74" s="1"/>
  <c r="B57" i="25"/>
  <c r="P57" i="25" s="1"/>
  <c r="P42" i="25"/>
  <c r="P67" i="64"/>
  <c r="B80" i="66"/>
  <c r="P80" i="66" l="1"/>
  <c r="B76" i="67"/>
  <c r="P76" i="67" l="1"/>
  <c r="B73" i="68"/>
  <c r="P73" i="6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Xia, Summer (ESI)</author>
  </authors>
  <commentList>
    <comment ref="C8" authorId="0" shapeId="0" xr:uid="{00000000-0006-0000-0100-000001000000}">
      <text>
        <r>
          <rPr>
            <b/>
            <sz val="9"/>
            <color indexed="81"/>
            <rFont val="Tahoma"/>
            <family val="2"/>
          </rPr>
          <t>See Drop Down:</t>
        </r>
        <r>
          <rPr>
            <sz val="9"/>
            <color indexed="81"/>
            <rFont val="Tahoma"/>
            <family val="2"/>
          </rPr>
          <t xml:space="preserve">
Not Started
In Progress
Completed</t>
        </r>
      </text>
    </comment>
    <comment ref="M8" authorId="0" shapeId="0" xr:uid="{00000000-0006-0000-0100-000002000000}">
      <text>
        <r>
          <rPr>
            <sz val="9"/>
            <color indexed="81"/>
            <rFont val="Tahoma"/>
            <family val="2"/>
          </rPr>
          <t>If conditional = Y refer issue log for details</t>
        </r>
      </text>
    </comment>
    <comment ref="O8" authorId="0" shapeId="0" xr:uid="{00000000-0006-0000-0100-000003000000}">
      <text>
        <r>
          <rPr>
            <b/>
            <sz val="9"/>
            <color indexed="81"/>
            <rFont val="Tahoma"/>
            <family val="2"/>
          </rPr>
          <t>See Drop Down:</t>
        </r>
        <r>
          <rPr>
            <sz val="9"/>
            <color indexed="81"/>
            <rFont val="Tahoma"/>
            <family val="2"/>
          </rPr>
          <t xml:space="preserve">
OPEN
CLOSED</t>
        </r>
      </text>
    </comment>
    <comment ref="F39" authorId="1" shapeId="0" xr:uid="{00000000-0006-0000-0100-000004000000}">
      <text>
        <r>
          <rPr>
            <b/>
            <sz val="9"/>
            <color indexed="81"/>
            <rFont val="Tahoma"/>
            <family val="2"/>
          </rPr>
          <t xml:space="preserve">PH in China from Jan 24th - 30th
</t>
        </r>
        <r>
          <rPr>
            <sz val="9"/>
            <color indexed="81"/>
            <rFont val="Tahoma"/>
            <family val="2"/>
          </rPr>
          <t xml:space="preserve">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Xia, Summer (ESI)</author>
    <author>lglasson</author>
    <author>Windows User</author>
  </authors>
  <commentList>
    <comment ref="O12" authorId="0" shapeId="0" xr:uid="{00000000-0006-0000-0D00-000001000000}">
      <text>
        <r>
          <rPr>
            <b/>
            <sz val="9"/>
            <color indexed="81"/>
            <rFont val="Tahoma"/>
            <family val="2"/>
          </rPr>
          <t>EE changed to Permanent from May 1st</t>
        </r>
      </text>
    </comment>
    <comment ref="W23" authorId="1" shapeId="0" xr:uid="{00000000-0006-0000-0D00-000002000000}">
      <text>
        <r>
          <rPr>
            <b/>
            <sz val="8"/>
            <color indexed="81"/>
            <rFont val="Tahoma"/>
            <family val="2"/>
          </rPr>
          <t>lglasson:</t>
        </r>
        <r>
          <rPr>
            <sz val="8"/>
            <color indexed="81"/>
            <rFont val="Tahoma"/>
            <family val="2"/>
          </rPr>
          <t xml:space="preserve">
Compulsory Field.
EE SAP number</t>
        </r>
      </text>
    </comment>
    <comment ref="X23" authorId="1" shapeId="0" xr:uid="{00000000-0006-0000-0D00-000003000000}">
      <text>
        <r>
          <rPr>
            <b/>
            <sz val="8"/>
            <color indexed="81"/>
            <rFont val="Tahoma"/>
            <family val="2"/>
          </rPr>
          <t>lglasson:</t>
        </r>
        <r>
          <rPr>
            <sz val="8"/>
            <color indexed="81"/>
            <rFont val="Tahoma"/>
            <family val="2"/>
          </rPr>
          <t xml:space="preserve">
Compulsory Field.
dd.mm.yyyy</t>
        </r>
      </text>
    </comment>
    <comment ref="Y23" authorId="1" shapeId="0" xr:uid="{00000000-0006-0000-0D00-000004000000}">
      <text>
        <r>
          <rPr>
            <b/>
            <sz val="8"/>
            <color indexed="81"/>
            <rFont val="Tahoma"/>
            <family val="2"/>
          </rPr>
          <t>lglasson:</t>
        </r>
        <r>
          <rPr>
            <sz val="8"/>
            <color indexed="81"/>
            <rFont val="Tahoma"/>
            <family val="2"/>
          </rPr>
          <t xml:space="preserve">
Compulsory Field.
dd.mm.yyyy</t>
        </r>
      </text>
    </comment>
    <comment ref="Z23" authorId="1" shapeId="0" xr:uid="{00000000-0006-0000-0D00-000005000000}">
      <text>
        <r>
          <rPr>
            <b/>
            <sz val="8"/>
            <color indexed="81"/>
            <rFont val="Tahoma"/>
            <family val="2"/>
          </rPr>
          <t>lglasson:</t>
        </r>
        <r>
          <rPr>
            <sz val="8"/>
            <color indexed="81"/>
            <rFont val="Tahoma"/>
            <family val="2"/>
          </rPr>
          <t xml:space="preserve">
Compulsory Field.
4 characters</t>
        </r>
      </text>
    </comment>
    <comment ref="AA23" authorId="1" shapeId="0" xr:uid="{00000000-0006-0000-0D00-000006000000}">
      <text>
        <r>
          <rPr>
            <b/>
            <sz val="8"/>
            <color indexed="81"/>
            <rFont val="Tahoma"/>
            <family val="2"/>
          </rPr>
          <t>lglasson:</t>
        </r>
        <r>
          <rPr>
            <sz val="8"/>
            <color indexed="81"/>
            <rFont val="Tahoma"/>
            <family val="2"/>
          </rPr>
          <t xml:space="preserve">
Represents the amount entered into the wage type per pay period without any proration or any other client specific calculation</t>
        </r>
      </text>
    </comment>
    <comment ref="AB23" authorId="1" shapeId="0" xr:uid="{00000000-0006-0000-0D00-000007000000}">
      <text>
        <r>
          <rPr>
            <b/>
            <sz val="8"/>
            <color indexed="81"/>
            <rFont val="Tahoma"/>
            <family val="2"/>
          </rPr>
          <t>lglasson:</t>
        </r>
        <r>
          <rPr>
            <sz val="8"/>
            <color indexed="81"/>
            <rFont val="Tahoma"/>
            <family val="2"/>
          </rPr>
          <t xml:space="preserve">
Up to 5 characters before numeric point</t>
        </r>
      </text>
    </comment>
    <comment ref="AC23" authorId="1" shapeId="0" xr:uid="{00000000-0006-0000-0D00-000008000000}">
      <text>
        <r>
          <rPr>
            <b/>
            <sz val="8"/>
            <color indexed="81"/>
            <rFont val="Tahoma"/>
            <family val="2"/>
          </rPr>
          <t>lglasson:</t>
        </r>
        <r>
          <rPr>
            <sz val="8"/>
            <color indexed="81"/>
            <rFont val="Tahoma"/>
            <family val="2"/>
          </rPr>
          <t xml:space="preserve">
Inputs are:
Hours
Days
Weeks
Percent
Units
Months</t>
        </r>
      </text>
    </comment>
    <comment ref="A26" authorId="1" shapeId="0" xr:uid="{00000000-0006-0000-0D00-000009000000}">
      <text>
        <r>
          <rPr>
            <b/>
            <sz val="8"/>
            <color indexed="81"/>
            <rFont val="Tahoma"/>
            <family val="2"/>
          </rPr>
          <t>lglasson:</t>
        </r>
        <r>
          <rPr>
            <sz val="8"/>
            <color indexed="81"/>
            <rFont val="Tahoma"/>
            <family val="2"/>
          </rPr>
          <t xml:space="preserve">
As per blueprint</t>
        </r>
      </text>
    </comment>
    <comment ref="H33" authorId="0" shapeId="0" xr:uid="{00000000-0006-0000-0D00-00000A000000}">
      <text>
        <r>
          <rPr>
            <b/>
            <sz val="9"/>
            <color indexed="81"/>
            <rFont val="Tahoma"/>
            <family val="2"/>
          </rPr>
          <t>One of DP becomes 18 yr old in May</t>
        </r>
        <r>
          <rPr>
            <sz val="9"/>
            <color indexed="81"/>
            <rFont val="Tahoma"/>
            <family val="2"/>
          </rPr>
          <t xml:space="preserve">
</t>
        </r>
      </text>
    </comment>
    <comment ref="A38" authorId="1" shapeId="0" xr:uid="{00000000-0006-0000-0D00-00000B000000}">
      <text>
        <r>
          <rPr>
            <b/>
            <sz val="8"/>
            <color indexed="81"/>
            <rFont val="Tahoma"/>
            <family val="2"/>
          </rPr>
          <t>lglasson:</t>
        </r>
        <r>
          <rPr>
            <sz val="8"/>
            <color indexed="81"/>
            <rFont val="Tahoma"/>
            <family val="2"/>
          </rPr>
          <t xml:space="preserve">
As per blueprint</t>
        </r>
      </text>
    </comment>
    <comment ref="A39" authorId="2" shapeId="0" xr:uid="{00000000-0006-0000-0D00-00000C000000}">
      <text>
        <r>
          <rPr>
            <b/>
            <sz val="9"/>
            <color indexed="81"/>
            <rFont val="Tahoma"/>
            <family val="2"/>
          </rPr>
          <t>Windows User:</t>
        </r>
        <r>
          <rPr>
            <sz val="9"/>
            <color indexed="81"/>
            <rFont val="Tahoma"/>
            <family val="2"/>
          </rPr>
          <t xml:space="preserve">
capping amount = 23,000,000</t>
        </r>
      </text>
    </comment>
    <comment ref="H44" authorId="0" shapeId="0" xr:uid="{7C438AC2-877F-4D6A-9F3D-CF978603D8D0}">
      <text>
        <r>
          <rPr>
            <b/>
            <sz val="9"/>
            <color indexed="81"/>
            <rFont val="Tahoma"/>
            <family val="2"/>
          </rPr>
          <t xml:space="preserve">One of DP becomes 18 yr old in May
</t>
        </r>
        <r>
          <rPr>
            <sz val="9"/>
            <color indexed="81"/>
            <rFont val="Tahoma"/>
            <family val="2"/>
          </rPr>
          <t xml:space="preserve">
</t>
        </r>
      </text>
    </comment>
    <comment ref="H46" authorId="0" shapeId="0" xr:uid="{00000000-0006-0000-0D00-00000D000000}">
      <text>
        <r>
          <rPr>
            <b/>
            <sz val="9"/>
            <color indexed="81"/>
            <rFont val="Tahoma"/>
            <family val="2"/>
          </rPr>
          <t>One of DP becomes 18 yr old in May</t>
        </r>
        <r>
          <rPr>
            <sz val="9"/>
            <color indexed="81"/>
            <rFont val="Tahoma"/>
            <family val="2"/>
          </rPr>
          <t xml:space="preserve">
</t>
        </r>
      </text>
    </comment>
    <comment ref="W51" authorId="1" shapeId="0" xr:uid="{00000000-0006-0000-0D00-00000F000000}">
      <text>
        <r>
          <rPr>
            <b/>
            <sz val="8"/>
            <color indexed="81"/>
            <rFont val="Tahoma"/>
            <family val="2"/>
          </rPr>
          <t>lglasson:</t>
        </r>
        <r>
          <rPr>
            <sz val="8"/>
            <color indexed="81"/>
            <rFont val="Tahoma"/>
            <family val="2"/>
          </rPr>
          <t xml:space="preserve">
Compulsory Field.
EE SAP number</t>
        </r>
      </text>
    </comment>
    <comment ref="X51" authorId="1" shapeId="0" xr:uid="{00000000-0006-0000-0D00-000010000000}">
      <text>
        <r>
          <rPr>
            <b/>
            <sz val="8"/>
            <color indexed="81"/>
            <rFont val="Tahoma"/>
            <family val="2"/>
          </rPr>
          <t>lglasson:</t>
        </r>
        <r>
          <rPr>
            <sz val="8"/>
            <color indexed="81"/>
            <rFont val="Tahoma"/>
            <family val="2"/>
          </rPr>
          <t xml:space="preserve">
Compulsory Field.
dd.mm.yyyy</t>
        </r>
      </text>
    </comment>
    <comment ref="Y51" authorId="1" shapeId="0" xr:uid="{00000000-0006-0000-0D00-000011000000}">
      <text>
        <r>
          <rPr>
            <b/>
            <sz val="8"/>
            <color indexed="81"/>
            <rFont val="Tahoma"/>
            <family val="2"/>
          </rPr>
          <t>lglasson:</t>
        </r>
        <r>
          <rPr>
            <sz val="8"/>
            <color indexed="81"/>
            <rFont val="Tahoma"/>
            <family val="2"/>
          </rPr>
          <t xml:space="preserve">
Compulsory Field.
dd.mm.yyyy</t>
        </r>
      </text>
    </comment>
    <comment ref="Z51" authorId="1" shapeId="0" xr:uid="{00000000-0006-0000-0D00-000012000000}">
      <text>
        <r>
          <rPr>
            <b/>
            <sz val="8"/>
            <color indexed="81"/>
            <rFont val="Tahoma"/>
            <family val="2"/>
          </rPr>
          <t>lglasson:</t>
        </r>
        <r>
          <rPr>
            <sz val="8"/>
            <color indexed="81"/>
            <rFont val="Tahoma"/>
            <family val="2"/>
          </rPr>
          <t xml:space="preserve">
Compulsory Field.
4 characters</t>
        </r>
      </text>
    </comment>
    <comment ref="AA51" authorId="1" shapeId="0" xr:uid="{00000000-0006-0000-0D00-000013000000}">
      <text>
        <r>
          <rPr>
            <b/>
            <sz val="8"/>
            <color indexed="81"/>
            <rFont val="Tahoma"/>
            <family val="2"/>
          </rPr>
          <t>lglasson:</t>
        </r>
        <r>
          <rPr>
            <sz val="8"/>
            <color indexed="81"/>
            <rFont val="Tahoma"/>
            <family val="2"/>
          </rPr>
          <t xml:space="preserve">
Represents the amount entered into the wage type per pay period without any proration or any other client specific calculation</t>
        </r>
      </text>
    </comment>
    <comment ref="AB51" authorId="1" shapeId="0" xr:uid="{00000000-0006-0000-0D00-000014000000}">
      <text>
        <r>
          <rPr>
            <b/>
            <sz val="8"/>
            <color indexed="81"/>
            <rFont val="Tahoma"/>
            <family val="2"/>
          </rPr>
          <t>lglasson:</t>
        </r>
        <r>
          <rPr>
            <sz val="8"/>
            <color indexed="81"/>
            <rFont val="Tahoma"/>
            <family val="2"/>
          </rPr>
          <t xml:space="preserve">
Up to 5 characters before numeric point</t>
        </r>
      </text>
    </comment>
    <comment ref="AC51" authorId="1" shapeId="0" xr:uid="{00000000-0006-0000-0D00-000015000000}">
      <text>
        <r>
          <rPr>
            <b/>
            <sz val="8"/>
            <color indexed="81"/>
            <rFont val="Tahoma"/>
            <family val="2"/>
          </rPr>
          <t>lglasson:</t>
        </r>
        <r>
          <rPr>
            <sz val="8"/>
            <color indexed="81"/>
            <rFont val="Tahoma"/>
            <family val="2"/>
          </rPr>
          <t xml:space="preserve">
Inputs are:
Hours
Days
Weeks
Percent
Units
Months</t>
        </r>
      </text>
    </comment>
    <comment ref="A53" authorId="2" shapeId="0" xr:uid="{00000000-0006-0000-0D00-00000E000000}">
      <text>
        <r>
          <rPr>
            <b/>
            <sz val="9"/>
            <color indexed="81"/>
            <rFont val="Tahoma"/>
            <family val="2"/>
          </rPr>
          <t>Windows User:</t>
        </r>
        <r>
          <rPr>
            <sz val="9"/>
            <color indexed="81"/>
            <rFont val="Tahoma"/>
            <family val="2"/>
          </rPr>
          <t xml:space="preserve">
capping amount = 23,000,000
</t>
        </r>
      </text>
    </comment>
    <comment ref="G89" authorId="0" shapeId="0" xr:uid="{6428D001-65A3-43E1-B8AA-8BA7E82603DD}">
      <text>
        <r>
          <rPr>
            <b/>
            <sz val="9"/>
            <color indexed="81"/>
            <rFont val="Tahoma"/>
            <family val="2"/>
          </rPr>
          <t>EE's WT9032 in first month = WT/171 / num of previous months</t>
        </r>
        <r>
          <rPr>
            <sz val="9"/>
            <color indexed="81"/>
            <rFont val="Tahoma"/>
            <family val="2"/>
          </rPr>
          <t xml:space="preserve">
</t>
        </r>
      </text>
    </comment>
    <comment ref="O89" authorId="0" shapeId="0" xr:uid="{932341B0-C8F1-49BA-BA5F-3A33325029C2}">
      <text>
        <r>
          <rPr>
            <b/>
            <sz val="9"/>
            <color indexed="81"/>
            <rFont val="Tahoma"/>
            <family val="2"/>
          </rPr>
          <t>EE's WT9032 in first month = WT/171 / num of previous months</t>
        </r>
        <r>
          <rPr>
            <sz val="9"/>
            <color indexed="81"/>
            <rFont val="Tahoma"/>
            <family val="2"/>
          </rPr>
          <t xml:space="preserve">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Xia, Summer (ESI)</author>
    <author>lglasson</author>
    <author>Windows User</author>
  </authors>
  <commentList>
    <comment ref="D7" authorId="0" shapeId="0" xr:uid="{6FC2E077-09DE-4336-82CF-777BBF2010DC}">
      <text>
        <r>
          <rPr>
            <b/>
            <sz val="9"/>
            <color indexed="81"/>
            <rFont val="Tahoma"/>
            <family val="2"/>
          </rPr>
          <t>Terminated EE with AL Encashment</t>
        </r>
        <r>
          <rPr>
            <sz val="9"/>
            <color indexed="81"/>
            <rFont val="Tahoma"/>
            <family val="2"/>
          </rPr>
          <t xml:space="preserve">
</t>
        </r>
      </text>
    </comment>
    <comment ref="E7" authorId="0" shapeId="0" xr:uid="{35DC796B-AEED-444E-8B82-1BD724ADD6B7}">
      <text>
        <r>
          <rPr>
            <b/>
            <sz val="9"/>
            <color indexed="81"/>
            <rFont val="Tahoma"/>
            <family val="2"/>
          </rPr>
          <t>Mid-month Salary Increase</t>
        </r>
        <r>
          <rPr>
            <sz val="9"/>
            <color indexed="81"/>
            <rFont val="Tahoma"/>
            <family val="2"/>
          </rPr>
          <t xml:space="preserve">
</t>
        </r>
      </text>
    </comment>
    <comment ref="M7" authorId="0" shapeId="0" xr:uid="{C14D5CB7-C486-412F-847A-AB74D20E8AAB}">
      <text>
        <r>
          <rPr>
            <b/>
            <sz val="9"/>
            <color indexed="81"/>
            <rFont val="Tahoma"/>
            <family val="2"/>
          </rPr>
          <t>Salary Increase from 1st working day</t>
        </r>
        <r>
          <rPr>
            <sz val="9"/>
            <color indexed="81"/>
            <rFont val="Tahoma"/>
            <family val="2"/>
          </rPr>
          <t xml:space="preserve">
</t>
        </r>
      </text>
    </comment>
    <comment ref="N7" authorId="0" shapeId="0" xr:uid="{00000000-0006-0000-0E00-000001000000}">
      <text>
        <r>
          <rPr>
            <b/>
            <sz val="9"/>
            <color indexed="81"/>
            <rFont val="Tahoma"/>
            <family val="2"/>
          </rPr>
          <t>Retro Salary Increase to be tested in Jul'19</t>
        </r>
        <r>
          <rPr>
            <sz val="9"/>
            <color indexed="81"/>
            <rFont val="Tahoma"/>
            <family val="2"/>
          </rPr>
          <t xml:space="preserve">
</t>
        </r>
      </text>
    </comment>
    <comment ref="O7" authorId="0" shapeId="0" xr:uid="{51DD2A9D-96FC-4940-95E5-B68AF4F5E1D2}">
      <text>
        <r>
          <rPr>
            <b/>
            <sz val="9"/>
            <color indexed="81"/>
            <rFont val="Tahoma"/>
            <family val="2"/>
          </rPr>
          <t>Mid-month FTE Change</t>
        </r>
        <r>
          <rPr>
            <sz val="9"/>
            <color indexed="81"/>
            <rFont val="Tahoma"/>
            <family val="2"/>
          </rPr>
          <t xml:space="preserve">
</t>
        </r>
      </text>
    </comment>
    <comment ref="W22" authorId="1" shapeId="0" xr:uid="{00000000-0006-0000-0E00-000003000000}">
      <text>
        <r>
          <rPr>
            <b/>
            <sz val="8"/>
            <color indexed="81"/>
            <rFont val="Tahoma"/>
            <family val="2"/>
          </rPr>
          <t>lglasson:</t>
        </r>
        <r>
          <rPr>
            <sz val="8"/>
            <color indexed="81"/>
            <rFont val="Tahoma"/>
            <family val="2"/>
          </rPr>
          <t xml:space="preserve">
Compulsory Field.
EE SAP number</t>
        </r>
      </text>
    </comment>
    <comment ref="X22" authorId="1" shapeId="0" xr:uid="{00000000-0006-0000-0E00-000004000000}">
      <text>
        <r>
          <rPr>
            <b/>
            <sz val="8"/>
            <color indexed="81"/>
            <rFont val="Tahoma"/>
            <family val="2"/>
          </rPr>
          <t>lglasson:</t>
        </r>
        <r>
          <rPr>
            <sz val="8"/>
            <color indexed="81"/>
            <rFont val="Tahoma"/>
            <family val="2"/>
          </rPr>
          <t xml:space="preserve">
Compulsory Field.
dd.mm.yyyy</t>
        </r>
      </text>
    </comment>
    <comment ref="Y22" authorId="1" shapeId="0" xr:uid="{00000000-0006-0000-0E00-000005000000}">
      <text>
        <r>
          <rPr>
            <b/>
            <sz val="8"/>
            <color indexed="81"/>
            <rFont val="Tahoma"/>
            <family val="2"/>
          </rPr>
          <t>lglasson:</t>
        </r>
        <r>
          <rPr>
            <sz val="8"/>
            <color indexed="81"/>
            <rFont val="Tahoma"/>
            <family val="2"/>
          </rPr>
          <t xml:space="preserve">
Compulsory Field.
dd.mm.yyyy</t>
        </r>
      </text>
    </comment>
    <comment ref="Z22" authorId="1" shapeId="0" xr:uid="{00000000-0006-0000-0E00-000006000000}">
      <text>
        <r>
          <rPr>
            <b/>
            <sz val="8"/>
            <color indexed="81"/>
            <rFont val="Tahoma"/>
            <family val="2"/>
          </rPr>
          <t>lglasson:</t>
        </r>
        <r>
          <rPr>
            <sz val="8"/>
            <color indexed="81"/>
            <rFont val="Tahoma"/>
            <family val="2"/>
          </rPr>
          <t xml:space="preserve">
Compulsory Field.
4 characters</t>
        </r>
      </text>
    </comment>
    <comment ref="AA22" authorId="1" shapeId="0" xr:uid="{00000000-0006-0000-0E00-000007000000}">
      <text>
        <r>
          <rPr>
            <b/>
            <sz val="8"/>
            <color indexed="81"/>
            <rFont val="Tahoma"/>
            <family val="2"/>
          </rPr>
          <t>lglasson:</t>
        </r>
        <r>
          <rPr>
            <sz val="8"/>
            <color indexed="81"/>
            <rFont val="Tahoma"/>
            <family val="2"/>
          </rPr>
          <t xml:space="preserve">
Represents the amount entered into the wage type per pay period without any proration or any other client specific calculation</t>
        </r>
      </text>
    </comment>
    <comment ref="AB22" authorId="1" shapeId="0" xr:uid="{00000000-0006-0000-0E00-000008000000}">
      <text>
        <r>
          <rPr>
            <b/>
            <sz val="8"/>
            <color indexed="81"/>
            <rFont val="Tahoma"/>
            <family val="2"/>
          </rPr>
          <t>lglasson:</t>
        </r>
        <r>
          <rPr>
            <sz val="8"/>
            <color indexed="81"/>
            <rFont val="Tahoma"/>
            <family val="2"/>
          </rPr>
          <t xml:space="preserve">
Up to 5 characters before numeric point</t>
        </r>
      </text>
    </comment>
    <comment ref="AC22" authorId="1" shapeId="0" xr:uid="{00000000-0006-0000-0E00-000009000000}">
      <text>
        <r>
          <rPr>
            <b/>
            <sz val="8"/>
            <color indexed="81"/>
            <rFont val="Tahoma"/>
            <family val="2"/>
          </rPr>
          <t>lglasson:</t>
        </r>
        <r>
          <rPr>
            <sz val="8"/>
            <color indexed="81"/>
            <rFont val="Tahoma"/>
            <family val="2"/>
          </rPr>
          <t xml:space="preserve">
Inputs are:
Hours
Days
Weeks
Percent
Units
Months</t>
        </r>
      </text>
    </comment>
    <comment ref="D24" authorId="0" shapeId="0" xr:uid="{00000000-0006-0000-0E00-00000A000000}">
      <text>
        <r>
          <rPr>
            <b/>
            <sz val="9"/>
            <color indexed="81"/>
            <rFont val="Tahoma"/>
            <family val="2"/>
          </rPr>
          <t>Dependent number changed from 1 to 0 from Jan'19</t>
        </r>
      </text>
    </comment>
    <comment ref="A28" authorId="1" shapeId="0" xr:uid="{00000000-0006-0000-0E00-00000B000000}">
      <text>
        <r>
          <rPr>
            <b/>
            <sz val="8"/>
            <color indexed="81"/>
            <rFont val="Tahoma"/>
            <family val="2"/>
          </rPr>
          <t>lglasson:</t>
        </r>
        <r>
          <rPr>
            <sz val="8"/>
            <color indexed="81"/>
            <rFont val="Tahoma"/>
            <family val="2"/>
          </rPr>
          <t xml:space="preserve">
As per blueprint</t>
        </r>
      </text>
    </comment>
    <comment ref="W41" authorId="1" shapeId="0" xr:uid="{00000000-0006-0000-0E00-00000C000000}">
      <text>
        <r>
          <rPr>
            <b/>
            <sz val="8"/>
            <color indexed="81"/>
            <rFont val="Tahoma"/>
            <family val="2"/>
          </rPr>
          <t>lglasson:</t>
        </r>
        <r>
          <rPr>
            <sz val="8"/>
            <color indexed="81"/>
            <rFont val="Tahoma"/>
            <family val="2"/>
          </rPr>
          <t xml:space="preserve">
Compulsory Field.
EE SAP number</t>
        </r>
      </text>
    </comment>
    <comment ref="X41" authorId="1" shapeId="0" xr:uid="{00000000-0006-0000-0E00-00000D000000}">
      <text>
        <r>
          <rPr>
            <b/>
            <sz val="8"/>
            <color indexed="81"/>
            <rFont val="Tahoma"/>
            <family val="2"/>
          </rPr>
          <t>lglasson:</t>
        </r>
        <r>
          <rPr>
            <sz val="8"/>
            <color indexed="81"/>
            <rFont val="Tahoma"/>
            <family val="2"/>
          </rPr>
          <t xml:space="preserve">
Compulsory Field.
dd.mm.yyyy</t>
        </r>
      </text>
    </comment>
    <comment ref="Y41" authorId="1" shapeId="0" xr:uid="{00000000-0006-0000-0E00-00000E000000}">
      <text>
        <r>
          <rPr>
            <b/>
            <sz val="8"/>
            <color indexed="81"/>
            <rFont val="Tahoma"/>
            <family val="2"/>
          </rPr>
          <t>lglasson:</t>
        </r>
        <r>
          <rPr>
            <sz val="8"/>
            <color indexed="81"/>
            <rFont val="Tahoma"/>
            <family val="2"/>
          </rPr>
          <t xml:space="preserve">
Compulsory Field.
dd.mm.yyyy</t>
        </r>
      </text>
    </comment>
    <comment ref="Z41" authorId="1" shapeId="0" xr:uid="{00000000-0006-0000-0E00-00000F000000}">
      <text>
        <r>
          <rPr>
            <b/>
            <sz val="8"/>
            <color indexed="81"/>
            <rFont val="Tahoma"/>
            <family val="2"/>
          </rPr>
          <t>lglasson:</t>
        </r>
        <r>
          <rPr>
            <sz val="8"/>
            <color indexed="81"/>
            <rFont val="Tahoma"/>
            <family val="2"/>
          </rPr>
          <t xml:space="preserve">
Compulsory Field.
4 characters</t>
        </r>
      </text>
    </comment>
    <comment ref="AA41" authorId="1" shapeId="0" xr:uid="{00000000-0006-0000-0E00-000010000000}">
      <text>
        <r>
          <rPr>
            <b/>
            <sz val="8"/>
            <color indexed="81"/>
            <rFont val="Tahoma"/>
            <family val="2"/>
          </rPr>
          <t>lglasson:</t>
        </r>
        <r>
          <rPr>
            <sz val="8"/>
            <color indexed="81"/>
            <rFont val="Tahoma"/>
            <family val="2"/>
          </rPr>
          <t xml:space="preserve">
Represents the amount entered into the wage type per pay period without any proration or any other client specific calculation</t>
        </r>
      </text>
    </comment>
    <comment ref="AB41" authorId="1" shapeId="0" xr:uid="{00000000-0006-0000-0E00-000011000000}">
      <text>
        <r>
          <rPr>
            <b/>
            <sz val="8"/>
            <color indexed="81"/>
            <rFont val="Tahoma"/>
            <family val="2"/>
          </rPr>
          <t>lglasson:</t>
        </r>
        <r>
          <rPr>
            <sz val="8"/>
            <color indexed="81"/>
            <rFont val="Tahoma"/>
            <family val="2"/>
          </rPr>
          <t xml:space="preserve">
Up to 5 characters before numeric point</t>
        </r>
      </text>
    </comment>
    <comment ref="AC41" authorId="1" shapeId="0" xr:uid="{00000000-0006-0000-0E00-000012000000}">
      <text>
        <r>
          <rPr>
            <b/>
            <sz val="8"/>
            <color indexed="81"/>
            <rFont val="Tahoma"/>
            <family val="2"/>
          </rPr>
          <t>lglasson:</t>
        </r>
        <r>
          <rPr>
            <sz val="8"/>
            <color indexed="81"/>
            <rFont val="Tahoma"/>
            <family val="2"/>
          </rPr>
          <t xml:space="preserve">
Inputs are:
Hours
Days
Weeks
Percent
Units
Months</t>
        </r>
      </text>
    </comment>
    <comment ref="A49" authorId="1" shapeId="0" xr:uid="{00000000-0006-0000-0E00-000013000000}">
      <text>
        <r>
          <rPr>
            <b/>
            <sz val="8"/>
            <color indexed="81"/>
            <rFont val="Tahoma"/>
            <family val="2"/>
          </rPr>
          <t>lglasson:</t>
        </r>
        <r>
          <rPr>
            <sz val="8"/>
            <color indexed="81"/>
            <rFont val="Tahoma"/>
            <family val="2"/>
          </rPr>
          <t xml:space="preserve">
As per blueprint</t>
        </r>
      </text>
    </comment>
    <comment ref="A50" authorId="2" shapeId="0" xr:uid="{00000000-0006-0000-0E00-000014000000}">
      <text>
        <r>
          <rPr>
            <b/>
            <sz val="9"/>
            <color indexed="81"/>
            <rFont val="Tahoma"/>
            <family val="2"/>
          </rPr>
          <t>Windows User:</t>
        </r>
        <r>
          <rPr>
            <sz val="9"/>
            <color indexed="81"/>
            <rFont val="Tahoma"/>
            <family val="2"/>
          </rPr>
          <t xml:space="preserve">
capping amount = 23,000,000</t>
        </r>
      </text>
    </comment>
    <comment ref="A65" authorId="2" shapeId="0" xr:uid="{00000000-0006-0000-0E00-000015000000}">
      <text>
        <r>
          <rPr>
            <b/>
            <sz val="9"/>
            <color indexed="81"/>
            <rFont val="Tahoma"/>
            <family val="2"/>
          </rPr>
          <t>Windows User:</t>
        </r>
        <r>
          <rPr>
            <sz val="9"/>
            <color indexed="81"/>
            <rFont val="Tahoma"/>
            <family val="2"/>
          </rPr>
          <t xml:space="preserve">
capping amount = 23,000,000
</t>
        </r>
      </text>
    </comment>
    <comment ref="E84" authorId="0" shapeId="0" xr:uid="{00000000-0006-0000-0E00-000016000000}">
      <text>
        <r>
          <rPr>
            <b/>
            <sz val="9"/>
            <color indexed="81"/>
            <rFont val="Tahoma"/>
            <family val="2"/>
          </rPr>
          <t>Daily Maxium OT hours capped at 4.</t>
        </r>
        <r>
          <rPr>
            <sz val="9"/>
            <color indexed="81"/>
            <rFont val="Tahoma"/>
            <family val="2"/>
          </rPr>
          <t xml:space="preserve">
</t>
        </r>
      </text>
    </comment>
    <comment ref="M84" authorId="0" shapeId="0" xr:uid="{00000000-0006-0000-0E00-000017000000}">
      <text>
        <r>
          <rPr>
            <b/>
            <sz val="9"/>
            <color indexed="81"/>
            <rFont val="Tahoma"/>
            <family val="2"/>
          </rPr>
          <t>Weekend Maxium OT hours capped at 12.</t>
        </r>
        <r>
          <rPr>
            <sz val="9"/>
            <color indexed="81"/>
            <rFont val="Tahoma"/>
            <family val="2"/>
          </rPr>
          <t xml:space="preserve">
</t>
        </r>
        <r>
          <rPr>
            <b/>
            <sz val="9"/>
            <color indexed="81"/>
            <rFont val="Tahoma"/>
            <family val="2"/>
          </rPr>
          <t>Monthly Maxium OT hours capped at 30.</t>
        </r>
      </text>
    </comment>
    <comment ref="B94" authorId="0" shapeId="0" xr:uid="{00000000-0006-0000-0E00-000018000000}">
      <text>
        <r>
          <rPr>
            <b/>
            <sz val="9"/>
            <color indexed="81"/>
            <rFont val="Tahoma"/>
            <family val="2"/>
          </rPr>
          <t>TOIL + OT capped at 4 hours</t>
        </r>
        <r>
          <rPr>
            <sz val="9"/>
            <color indexed="81"/>
            <rFont val="Tahoma"/>
            <family val="2"/>
          </rPr>
          <t xml:space="preserve">
</t>
        </r>
      </text>
    </comment>
    <comment ref="D130" authorId="0" shapeId="0" xr:uid="{00000000-0006-0000-0E00-000019000000}">
      <text>
        <r>
          <rPr>
            <b/>
            <sz val="9"/>
            <color indexed="81"/>
            <rFont val="Tahoma"/>
            <family val="2"/>
          </rPr>
          <t>Quota balance compensated and cleared</t>
        </r>
        <r>
          <rPr>
            <sz val="9"/>
            <color indexed="81"/>
            <rFont val="Tahoma"/>
            <family val="2"/>
          </rPr>
          <t xml:space="preserve">
</t>
        </r>
      </text>
    </comment>
    <comment ref="D131" authorId="0" shapeId="0" xr:uid="{00000000-0006-0000-0E00-00001A000000}">
      <text>
        <r>
          <rPr>
            <b/>
            <sz val="9"/>
            <color indexed="81"/>
            <rFont val="Tahoma"/>
            <family val="2"/>
          </rPr>
          <t>SL quota prorated based on EE's termination date</t>
        </r>
        <r>
          <rPr>
            <sz val="9"/>
            <color indexed="81"/>
            <rFont val="Tahoma"/>
            <family val="2"/>
          </rPr>
          <t xml:space="preserve">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Xia, Summer (ESI)</author>
    <author>lglasson</author>
    <author>Windows User</author>
  </authors>
  <commentList>
    <comment ref="D7" authorId="0" shapeId="0" xr:uid="{10535C20-EDEB-44EC-B29E-E8C30E61E5C2}">
      <text>
        <r>
          <rPr>
            <b/>
            <sz val="9"/>
            <color indexed="81"/>
            <rFont val="Tahoma"/>
            <family val="2"/>
          </rPr>
          <t>Termianted EE with additional Payments</t>
        </r>
        <r>
          <rPr>
            <sz val="9"/>
            <color indexed="81"/>
            <rFont val="Tahoma"/>
            <family val="2"/>
          </rPr>
          <t xml:space="preserve">
</t>
        </r>
      </text>
    </comment>
    <comment ref="N7" authorId="0" shapeId="0" xr:uid="{00000000-0006-0000-0F00-000002000000}">
      <text>
        <r>
          <rPr>
            <b/>
            <sz val="9"/>
            <color indexed="81"/>
            <rFont val="Tahoma"/>
            <family val="2"/>
          </rPr>
          <t>Retro Salary Increase to be tested in Jul'19</t>
        </r>
        <r>
          <rPr>
            <sz val="9"/>
            <color indexed="81"/>
            <rFont val="Tahoma"/>
            <family val="2"/>
          </rPr>
          <t xml:space="preserve">
</t>
        </r>
      </text>
    </comment>
    <comment ref="W22" authorId="1" shapeId="0" xr:uid="{00000000-0006-0000-0F00-000003000000}">
      <text>
        <r>
          <rPr>
            <b/>
            <sz val="8"/>
            <color indexed="81"/>
            <rFont val="Tahoma"/>
            <family val="2"/>
          </rPr>
          <t>lglasson:</t>
        </r>
        <r>
          <rPr>
            <sz val="8"/>
            <color indexed="81"/>
            <rFont val="Tahoma"/>
            <family val="2"/>
          </rPr>
          <t xml:space="preserve">
Compulsory Field.
EE SAP number</t>
        </r>
      </text>
    </comment>
    <comment ref="X22" authorId="1" shapeId="0" xr:uid="{00000000-0006-0000-0F00-000004000000}">
      <text>
        <r>
          <rPr>
            <b/>
            <sz val="8"/>
            <color indexed="81"/>
            <rFont val="Tahoma"/>
            <family val="2"/>
          </rPr>
          <t>lglasson:</t>
        </r>
        <r>
          <rPr>
            <sz val="8"/>
            <color indexed="81"/>
            <rFont val="Tahoma"/>
            <family val="2"/>
          </rPr>
          <t xml:space="preserve">
Compulsory Field.
dd.mm.yyyy</t>
        </r>
      </text>
    </comment>
    <comment ref="Y22" authorId="1" shapeId="0" xr:uid="{00000000-0006-0000-0F00-000005000000}">
      <text>
        <r>
          <rPr>
            <b/>
            <sz val="8"/>
            <color indexed="81"/>
            <rFont val="Tahoma"/>
            <family val="2"/>
          </rPr>
          <t>lglasson:</t>
        </r>
        <r>
          <rPr>
            <sz val="8"/>
            <color indexed="81"/>
            <rFont val="Tahoma"/>
            <family val="2"/>
          </rPr>
          <t xml:space="preserve">
Compulsory Field.
dd.mm.yyyy</t>
        </r>
      </text>
    </comment>
    <comment ref="Z22" authorId="1" shapeId="0" xr:uid="{00000000-0006-0000-0F00-000006000000}">
      <text>
        <r>
          <rPr>
            <b/>
            <sz val="8"/>
            <color indexed="81"/>
            <rFont val="Tahoma"/>
            <family val="2"/>
          </rPr>
          <t>lglasson:</t>
        </r>
        <r>
          <rPr>
            <sz val="8"/>
            <color indexed="81"/>
            <rFont val="Tahoma"/>
            <family val="2"/>
          </rPr>
          <t xml:space="preserve">
Compulsory Field.
4 characters</t>
        </r>
      </text>
    </comment>
    <comment ref="AA22" authorId="1" shapeId="0" xr:uid="{00000000-0006-0000-0F00-000007000000}">
      <text>
        <r>
          <rPr>
            <b/>
            <sz val="8"/>
            <color indexed="81"/>
            <rFont val="Tahoma"/>
            <family val="2"/>
          </rPr>
          <t>lglasson:</t>
        </r>
        <r>
          <rPr>
            <sz val="8"/>
            <color indexed="81"/>
            <rFont val="Tahoma"/>
            <family val="2"/>
          </rPr>
          <t xml:space="preserve">
Represents the amount entered into the wage type per pay period without any proration or any other client specific calculation</t>
        </r>
      </text>
    </comment>
    <comment ref="AB22" authorId="1" shapeId="0" xr:uid="{00000000-0006-0000-0F00-000008000000}">
      <text>
        <r>
          <rPr>
            <b/>
            <sz val="8"/>
            <color indexed="81"/>
            <rFont val="Tahoma"/>
            <family val="2"/>
          </rPr>
          <t>lglasson:</t>
        </r>
        <r>
          <rPr>
            <sz val="8"/>
            <color indexed="81"/>
            <rFont val="Tahoma"/>
            <family val="2"/>
          </rPr>
          <t xml:space="preserve">
Up to 5 characters before numeric point</t>
        </r>
      </text>
    </comment>
    <comment ref="AC22" authorId="1" shapeId="0" xr:uid="{00000000-0006-0000-0F00-000009000000}">
      <text>
        <r>
          <rPr>
            <b/>
            <sz val="8"/>
            <color indexed="81"/>
            <rFont val="Tahoma"/>
            <family val="2"/>
          </rPr>
          <t>lglasson:</t>
        </r>
        <r>
          <rPr>
            <sz val="8"/>
            <color indexed="81"/>
            <rFont val="Tahoma"/>
            <family val="2"/>
          </rPr>
          <t xml:space="preserve">
Inputs are:
Hours
Days
Weeks
Percent
Units
Months</t>
        </r>
      </text>
    </comment>
    <comment ref="A26" authorId="1" shapeId="0" xr:uid="{00000000-0006-0000-0F00-00000A000000}">
      <text>
        <r>
          <rPr>
            <b/>
            <sz val="8"/>
            <color indexed="81"/>
            <rFont val="Tahoma"/>
            <family val="2"/>
          </rPr>
          <t>lglasson:</t>
        </r>
        <r>
          <rPr>
            <sz val="8"/>
            <color indexed="81"/>
            <rFont val="Tahoma"/>
            <family val="2"/>
          </rPr>
          <t xml:space="preserve">
As per blueprint</t>
        </r>
      </text>
    </comment>
    <comment ref="W45" authorId="1" shapeId="0" xr:uid="{00000000-0006-0000-0F00-00000D000000}">
      <text>
        <r>
          <rPr>
            <b/>
            <sz val="8"/>
            <color indexed="81"/>
            <rFont val="Tahoma"/>
            <family val="2"/>
          </rPr>
          <t>lglasson:</t>
        </r>
        <r>
          <rPr>
            <sz val="8"/>
            <color indexed="81"/>
            <rFont val="Tahoma"/>
            <family val="2"/>
          </rPr>
          <t xml:space="preserve">
Compulsory Field.
EE SAP number</t>
        </r>
      </text>
    </comment>
    <comment ref="X45" authorId="1" shapeId="0" xr:uid="{00000000-0006-0000-0F00-00000E000000}">
      <text>
        <r>
          <rPr>
            <b/>
            <sz val="8"/>
            <color indexed="81"/>
            <rFont val="Tahoma"/>
            <family val="2"/>
          </rPr>
          <t>lglasson:</t>
        </r>
        <r>
          <rPr>
            <sz val="8"/>
            <color indexed="81"/>
            <rFont val="Tahoma"/>
            <family val="2"/>
          </rPr>
          <t xml:space="preserve">
Compulsory Field.
dd.mm.yyyy</t>
        </r>
      </text>
    </comment>
    <comment ref="Y45" authorId="1" shapeId="0" xr:uid="{00000000-0006-0000-0F00-00000F000000}">
      <text>
        <r>
          <rPr>
            <b/>
            <sz val="8"/>
            <color indexed="81"/>
            <rFont val="Tahoma"/>
            <family val="2"/>
          </rPr>
          <t>lglasson:</t>
        </r>
        <r>
          <rPr>
            <sz val="8"/>
            <color indexed="81"/>
            <rFont val="Tahoma"/>
            <family val="2"/>
          </rPr>
          <t xml:space="preserve">
Compulsory Field.
dd.mm.yyyy</t>
        </r>
      </text>
    </comment>
    <comment ref="Z45" authorId="1" shapeId="0" xr:uid="{00000000-0006-0000-0F00-000010000000}">
      <text>
        <r>
          <rPr>
            <b/>
            <sz val="8"/>
            <color indexed="81"/>
            <rFont val="Tahoma"/>
            <family val="2"/>
          </rPr>
          <t>lglasson:</t>
        </r>
        <r>
          <rPr>
            <sz val="8"/>
            <color indexed="81"/>
            <rFont val="Tahoma"/>
            <family val="2"/>
          </rPr>
          <t xml:space="preserve">
Compulsory Field.
4 characters</t>
        </r>
      </text>
    </comment>
    <comment ref="AA45" authorId="1" shapeId="0" xr:uid="{00000000-0006-0000-0F00-000011000000}">
      <text>
        <r>
          <rPr>
            <b/>
            <sz val="8"/>
            <color indexed="81"/>
            <rFont val="Tahoma"/>
            <family val="2"/>
          </rPr>
          <t>lglasson:</t>
        </r>
        <r>
          <rPr>
            <sz val="8"/>
            <color indexed="81"/>
            <rFont val="Tahoma"/>
            <family val="2"/>
          </rPr>
          <t xml:space="preserve">
Represents the amount entered into the wage type per pay period without any proration or any other client specific calculation</t>
        </r>
      </text>
    </comment>
    <comment ref="AB45" authorId="1" shapeId="0" xr:uid="{00000000-0006-0000-0F00-000012000000}">
      <text>
        <r>
          <rPr>
            <b/>
            <sz val="8"/>
            <color indexed="81"/>
            <rFont val="Tahoma"/>
            <family val="2"/>
          </rPr>
          <t>lglasson:</t>
        </r>
        <r>
          <rPr>
            <sz val="8"/>
            <color indexed="81"/>
            <rFont val="Tahoma"/>
            <family val="2"/>
          </rPr>
          <t xml:space="preserve">
Up to 5 characters before numeric point</t>
        </r>
      </text>
    </comment>
    <comment ref="AC45" authorId="1" shapeId="0" xr:uid="{00000000-0006-0000-0F00-000013000000}">
      <text>
        <r>
          <rPr>
            <b/>
            <sz val="8"/>
            <color indexed="81"/>
            <rFont val="Tahoma"/>
            <family val="2"/>
          </rPr>
          <t>lglasson:</t>
        </r>
        <r>
          <rPr>
            <sz val="8"/>
            <color indexed="81"/>
            <rFont val="Tahoma"/>
            <family val="2"/>
          </rPr>
          <t xml:space="preserve">
Inputs are:
Hours
Days
Weeks
Percent
Units
Months</t>
        </r>
      </text>
    </comment>
    <comment ref="A46" authorId="1" shapeId="0" xr:uid="{00000000-0006-0000-0F00-000014000000}">
      <text>
        <r>
          <rPr>
            <b/>
            <sz val="8"/>
            <color indexed="81"/>
            <rFont val="Tahoma"/>
            <family val="2"/>
          </rPr>
          <t>lglasson:</t>
        </r>
        <r>
          <rPr>
            <sz val="8"/>
            <color indexed="81"/>
            <rFont val="Tahoma"/>
            <family val="2"/>
          </rPr>
          <t xml:space="preserve">
As per blueprint</t>
        </r>
      </text>
    </comment>
    <comment ref="A47" authorId="2" shapeId="0" xr:uid="{00000000-0006-0000-0F00-000015000000}">
      <text>
        <r>
          <rPr>
            <b/>
            <sz val="9"/>
            <color indexed="81"/>
            <rFont val="Tahoma"/>
            <family val="2"/>
          </rPr>
          <t>Windows User:</t>
        </r>
        <r>
          <rPr>
            <sz val="9"/>
            <color indexed="81"/>
            <rFont val="Tahoma"/>
            <family val="2"/>
          </rPr>
          <t xml:space="preserve">
capping amount = 23,000,000</t>
        </r>
      </text>
    </comment>
    <comment ref="A61" authorId="2" shapeId="0" xr:uid="{00000000-0006-0000-0F00-000016000000}">
      <text>
        <r>
          <rPr>
            <b/>
            <sz val="9"/>
            <color indexed="81"/>
            <rFont val="Tahoma"/>
            <family val="2"/>
          </rPr>
          <t>Windows User:</t>
        </r>
        <r>
          <rPr>
            <sz val="9"/>
            <color indexed="81"/>
            <rFont val="Tahoma"/>
            <family val="2"/>
          </rPr>
          <t xml:space="preserve">
capping amount = 23,000,000
</t>
        </r>
      </text>
    </comment>
    <comment ref="A105" authorId="0" shapeId="0" xr:uid="{65C393B6-9D13-4427-8012-819DE1EF8841}">
      <text>
        <r>
          <rPr>
            <b/>
            <sz val="9"/>
            <color indexed="81"/>
            <rFont val="Tahoma"/>
            <family val="2"/>
          </rPr>
          <t>SI Base capping changed to 29,800,000</t>
        </r>
        <r>
          <rPr>
            <sz val="9"/>
            <color indexed="81"/>
            <rFont val="Tahoma"/>
            <family val="2"/>
          </rPr>
          <t xml:space="preserve">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lglasson</author>
    <author>Windows User</author>
  </authors>
  <commentList>
    <comment ref="A23" authorId="0" shapeId="0" xr:uid="{00000000-0006-0000-1000-000002000000}">
      <text>
        <r>
          <rPr>
            <b/>
            <sz val="8"/>
            <color indexed="81"/>
            <rFont val="Tahoma"/>
            <family val="2"/>
          </rPr>
          <t>lglasson:</t>
        </r>
        <r>
          <rPr>
            <sz val="8"/>
            <color indexed="81"/>
            <rFont val="Tahoma"/>
            <family val="2"/>
          </rPr>
          <t xml:space="preserve">
As per blueprint</t>
        </r>
      </text>
    </comment>
    <comment ref="W24" authorId="0" shapeId="0" xr:uid="{00000000-0006-0000-1000-000003000000}">
      <text>
        <r>
          <rPr>
            <b/>
            <sz val="8"/>
            <color indexed="81"/>
            <rFont val="Tahoma"/>
            <family val="2"/>
          </rPr>
          <t>lglasson:</t>
        </r>
        <r>
          <rPr>
            <sz val="8"/>
            <color indexed="81"/>
            <rFont val="Tahoma"/>
            <family val="2"/>
          </rPr>
          <t xml:space="preserve">
Compulsory Field.
EE SAP number</t>
        </r>
      </text>
    </comment>
    <comment ref="X24" authorId="0" shapeId="0" xr:uid="{00000000-0006-0000-1000-000004000000}">
      <text>
        <r>
          <rPr>
            <b/>
            <sz val="8"/>
            <color indexed="81"/>
            <rFont val="Tahoma"/>
            <family val="2"/>
          </rPr>
          <t>lglasson:</t>
        </r>
        <r>
          <rPr>
            <sz val="8"/>
            <color indexed="81"/>
            <rFont val="Tahoma"/>
            <family val="2"/>
          </rPr>
          <t xml:space="preserve">
Compulsory Field.
dd.mm.yyyy</t>
        </r>
      </text>
    </comment>
    <comment ref="Y24" authorId="0" shapeId="0" xr:uid="{00000000-0006-0000-1000-000005000000}">
      <text>
        <r>
          <rPr>
            <b/>
            <sz val="8"/>
            <color indexed="81"/>
            <rFont val="Tahoma"/>
            <family val="2"/>
          </rPr>
          <t>lglasson:</t>
        </r>
        <r>
          <rPr>
            <sz val="8"/>
            <color indexed="81"/>
            <rFont val="Tahoma"/>
            <family val="2"/>
          </rPr>
          <t xml:space="preserve">
Compulsory Field.
dd.mm.yyyy</t>
        </r>
      </text>
    </comment>
    <comment ref="Z24" authorId="0" shapeId="0" xr:uid="{00000000-0006-0000-1000-000006000000}">
      <text>
        <r>
          <rPr>
            <b/>
            <sz val="8"/>
            <color indexed="81"/>
            <rFont val="Tahoma"/>
            <family val="2"/>
          </rPr>
          <t>lglasson:</t>
        </r>
        <r>
          <rPr>
            <sz val="8"/>
            <color indexed="81"/>
            <rFont val="Tahoma"/>
            <family val="2"/>
          </rPr>
          <t xml:space="preserve">
Compulsory Field.
4 characters</t>
        </r>
      </text>
    </comment>
    <comment ref="AA24" authorId="0" shapeId="0" xr:uid="{00000000-0006-0000-1000-000007000000}">
      <text>
        <r>
          <rPr>
            <b/>
            <sz val="8"/>
            <color indexed="81"/>
            <rFont val="Tahoma"/>
            <family val="2"/>
          </rPr>
          <t>lglasson:</t>
        </r>
        <r>
          <rPr>
            <sz val="8"/>
            <color indexed="81"/>
            <rFont val="Tahoma"/>
            <family val="2"/>
          </rPr>
          <t xml:space="preserve">
Represents the amount entered into the wage type per pay period without any proration or any other client specific calculation</t>
        </r>
      </text>
    </comment>
    <comment ref="AB24" authorId="0" shapeId="0" xr:uid="{00000000-0006-0000-1000-000008000000}">
      <text>
        <r>
          <rPr>
            <b/>
            <sz val="8"/>
            <color indexed="81"/>
            <rFont val="Tahoma"/>
            <family val="2"/>
          </rPr>
          <t>lglasson:</t>
        </r>
        <r>
          <rPr>
            <sz val="8"/>
            <color indexed="81"/>
            <rFont val="Tahoma"/>
            <family val="2"/>
          </rPr>
          <t xml:space="preserve">
Up to 5 characters before numeric point</t>
        </r>
      </text>
    </comment>
    <comment ref="AC24" authorId="0" shapeId="0" xr:uid="{00000000-0006-0000-1000-000009000000}">
      <text>
        <r>
          <rPr>
            <b/>
            <sz val="8"/>
            <color indexed="81"/>
            <rFont val="Tahoma"/>
            <family val="2"/>
          </rPr>
          <t>lglasson:</t>
        </r>
        <r>
          <rPr>
            <sz val="8"/>
            <color indexed="81"/>
            <rFont val="Tahoma"/>
            <family val="2"/>
          </rPr>
          <t xml:space="preserve">
Inputs are:
Hours
Days
Weeks
Percent
Units
Months</t>
        </r>
      </text>
    </comment>
    <comment ref="A43" authorId="0" shapeId="0" xr:uid="{00000000-0006-0000-1000-00000A000000}">
      <text>
        <r>
          <rPr>
            <b/>
            <sz val="8"/>
            <color indexed="81"/>
            <rFont val="Tahoma"/>
            <family val="2"/>
          </rPr>
          <t>lglasson:</t>
        </r>
        <r>
          <rPr>
            <sz val="8"/>
            <color indexed="81"/>
            <rFont val="Tahoma"/>
            <family val="2"/>
          </rPr>
          <t xml:space="preserve">
As per blueprint</t>
        </r>
      </text>
    </comment>
    <comment ref="A44" authorId="1" shapeId="0" xr:uid="{00000000-0006-0000-1000-00000B000000}">
      <text>
        <r>
          <rPr>
            <b/>
            <sz val="9"/>
            <color indexed="81"/>
            <rFont val="Tahoma"/>
            <family val="2"/>
          </rPr>
          <t>Windows User:</t>
        </r>
        <r>
          <rPr>
            <sz val="9"/>
            <color indexed="81"/>
            <rFont val="Tahoma"/>
            <family val="2"/>
          </rPr>
          <t xml:space="preserve">
capping amount = 23,000,000</t>
        </r>
      </text>
    </comment>
    <comment ref="A58" authorId="1" shapeId="0" xr:uid="{00000000-0006-0000-1000-00000C000000}">
      <text>
        <r>
          <rPr>
            <b/>
            <sz val="9"/>
            <color indexed="81"/>
            <rFont val="Tahoma"/>
            <family val="2"/>
          </rPr>
          <t>Windows User:</t>
        </r>
        <r>
          <rPr>
            <sz val="9"/>
            <color indexed="81"/>
            <rFont val="Tahoma"/>
            <family val="2"/>
          </rPr>
          <t xml:space="preserve">
capping amount = 23,000,000
</t>
        </r>
      </text>
    </comment>
    <comment ref="W92" authorId="0" shapeId="0" xr:uid="{00000000-0006-0000-1000-00000D000000}">
      <text>
        <r>
          <rPr>
            <b/>
            <sz val="8"/>
            <color indexed="81"/>
            <rFont val="Tahoma"/>
            <family val="2"/>
          </rPr>
          <t>lglasson:</t>
        </r>
        <r>
          <rPr>
            <sz val="8"/>
            <color indexed="81"/>
            <rFont val="Tahoma"/>
            <family val="2"/>
          </rPr>
          <t xml:space="preserve">
Compulsory Field.
EE SAP number</t>
        </r>
      </text>
    </comment>
    <comment ref="X92" authorId="0" shapeId="0" xr:uid="{00000000-0006-0000-1000-00000E000000}">
      <text>
        <r>
          <rPr>
            <b/>
            <sz val="8"/>
            <color indexed="81"/>
            <rFont val="Tahoma"/>
            <family val="2"/>
          </rPr>
          <t>lglasson:</t>
        </r>
        <r>
          <rPr>
            <sz val="8"/>
            <color indexed="81"/>
            <rFont val="Tahoma"/>
            <family val="2"/>
          </rPr>
          <t xml:space="preserve">
Compulsory Field.
dd.mm.yyyy</t>
        </r>
      </text>
    </comment>
    <comment ref="Y92" authorId="0" shapeId="0" xr:uid="{00000000-0006-0000-1000-00000F000000}">
      <text>
        <r>
          <rPr>
            <b/>
            <sz val="8"/>
            <color indexed="81"/>
            <rFont val="Tahoma"/>
            <family val="2"/>
          </rPr>
          <t>lglasson:</t>
        </r>
        <r>
          <rPr>
            <sz val="8"/>
            <color indexed="81"/>
            <rFont val="Tahoma"/>
            <family val="2"/>
          </rPr>
          <t xml:space="preserve">
Compulsory Field.
dd.mm.yyyy</t>
        </r>
      </text>
    </comment>
    <comment ref="Z92" authorId="0" shapeId="0" xr:uid="{00000000-0006-0000-1000-000010000000}">
      <text>
        <r>
          <rPr>
            <b/>
            <sz val="8"/>
            <color indexed="81"/>
            <rFont val="Tahoma"/>
            <family val="2"/>
          </rPr>
          <t>lglasson:</t>
        </r>
        <r>
          <rPr>
            <sz val="8"/>
            <color indexed="81"/>
            <rFont val="Tahoma"/>
            <family val="2"/>
          </rPr>
          <t xml:space="preserve">
Compulsory Field.
4 characters</t>
        </r>
      </text>
    </comment>
    <comment ref="AA92" authorId="0" shapeId="0" xr:uid="{00000000-0006-0000-1000-000011000000}">
      <text>
        <r>
          <rPr>
            <b/>
            <sz val="8"/>
            <color indexed="81"/>
            <rFont val="Tahoma"/>
            <family val="2"/>
          </rPr>
          <t>lglasson:</t>
        </r>
        <r>
          <rPr>
            <sz val="8"/>
            <color indexed="81"/>
            <rFont val="Tahoma"/>
            <family val="2"/>
          </rPr>
          <t xml:space="preserve">
Represents the amount entered into the wage type per pay period without any proration or any other client specific calculation</t>
        </r>
      </text>
    </comment>
    <comment ref="AB92" authorId="0" shapeId="0" xr:uid="{00000000-0006-0000-1000-000012000000}">
      <text>
        <r>
          <rPr>
            <b/>
            <sz val="8"/>
            <color indexed="81"/>
            <rFont val="Tahoma"/>
            <family val="2"/>
          </rPr>
          <t>lglasson:</t>
        </r>
        <r>
          <rPr>
            <sz val="8"/>
            <color indexed="81"/>
            <rFont val="Tahoma"/>
            <family val="2"/>
          </rPr>
          <t xml:space="preserve">
Up to 5 characters before numeric point</t>
        </r>
      </text>
    </comment>
    <comment ref="AC92" authorId="0" shapeId="0" xr:uid="{00000000-0006-0000-1000-000013000000}">
      <text>
        <r>
          <rPr>
            <b/>
            <sz val="8"/>
            <color indexed="81"/>
            <rFont val="Tahoma"/>
            <family val="2"/>
          </rPr>
          <t>lglasson:</t>
        </r>
        <r>
          <rPr>
            <sz val="8"/>
            <color indexed="81"/>
            <rFont val="Tahoma"/>
            <family val="2"/>
          </rPr>
          <t xml:space="preserve">
Inputs are:
Hours
Days
Weeks
Percent
Units
Months</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lglasson</author>
    <author>Windows User</author>
    <author>Xia, Summer (ESI)</author>
  </authors>
  <commentList>
    <comment ref="A24" authorId="0" shapeId="0" xr:uid="{00000000-0006-0000-1100-000001000000}">
      <text>
        <r>
          <rPr>
            <b/>
            <sz val="8"/>
            <color indexed="81"/>
            <rFont val="Tahoma"/>
            <family val="2"/>
          </rPr>
          <t>lglasson:</t>
        </r>
        <r>
          <rPr>
            <sz val="8"/>
            <color indexed="81"/>
            <rFont val="Tahoma"/>
            <family val="2"/>
          </rPr>
          <t xml:space="preserve">
As per blueprint</t>
        </r>
      </text>
    </comment>
    <comment ref="W24" authorId="0" shapeId="0" xr:uid="{00000000-0006-0000-1100-000002000000}">
      <text>
        <r>
          <rPr>
            <b/>
            <sz val="8"/>
            <color indexed="81"/>
            <rFont val="Tahoma"/>
            <family val="2"/>
          </rPr>
          <t>lglasson:</t>
        </r>
        <r>
          <rPr>
            <sz val="8"/>
            <color indexed="81"/>
            <rFont val="Tahoma"/>
            <family val="2"/>
          </rPr>
          <t xml:space="preserve">
Compulsory Field.
EE SAP number</t>
        </r>
      </text>
    </comment>
    <comment ref="X24" authorId="0" shapeId="0" xr:uid="{00000000-0006-0000-1100-000003000000}">
      <text>
        <r>
          <rPr>
            <b/>
            <sz val="8"/>
            <color indexed="81"/>
            <rFont val="Tahoma"/>
            <family val="2"/>
          </rPr>
          <t>lglasson:</t>
        </r>
        <r>
          <rPr>
            <sz val="8"/>
            <color indexed="81"/>
            <rFont val="Tahoma"/>
            <family val="2"/>
          </rPr>
          <t xml:space="preserve">
Compulsory Field.
dd.mm.yyyy</t>
        </r>
      </text>
    </comment>
    <comment ref="Y24" authorId="0" shapeId="0" xr:uid="{00000000-0006-0000-1100-000004000000}">
      <text>
        <r>
          <rPr>
            <b/>
            <sz val="8"/>
            <color indexed="81"/>
            <rFont val="Tahoma"/>
            <family val="2"/>
          </rPr>
          <t>lglasson:</t>
        </r>
        <r>
          <rPr>
            <sz val="8"/>
            <color indexed="81"/>
            <rFont val="Tahoma"/>
            <family val="2"/>
          </rPr>
          <t xml:space="preserve">
Compulsory Field.
dd.mm.yyyy</t>
        </r>
      </text>
    </comment>
    <comment ref="Z24" authorId="0" shapeId="0" xr:uid="{00000000-0006-0000-1100-000005000000}">
      <text>
        <r>
          <rPr>
            <b/>
            <sz val="8"/>
            <color indexed="81"/>
            <rFont val="Tahoma"/>
            <family val="2"/>
          </rPr>
          <t>lglasson:</t>
        </r>
        <r>
          <rPr>
            <sz val="8"/>
            <color indexed="81"/>
            <rFont val="Tahoma"/>
            <family val="2"/>
          </rPr>
          <t xml:space="preserve">
Compulsory Field.
4 characters</t>
        </r>
      </text>
    </comment>
    <comment ref="AA24" authorId="0" shapeId="0" xr:uid="{00000000-0006-0000-1100-000006000000}">
      <text>
        <r>
          <rPr>
            <b/>
            <sz val="8"/>
            <color indexed="81"/>
            <rFont val="Tahoma"/>
            <family val="2"/>
          </rPr>
          <t>lglasson:</t>
        </r>
        <r>
          <rPr>
            <sz val="8"/>
            <color indexed="81"/>
            <rFont val="Tahoma"/>
            <family val="2"/>
          </rPr>
          <t xml:space="preserve">
Represents the amount entered into the wage type per pay period without any proration or any other client specific calculation</t>
        </r>
      </text>
    </comment>
    <comment ref="AB24" authorId="0" shapeId="0" xr:uid="{00000000-0006-0000-1100-000007000000}">
      <text>
        <r>
          <rPr>
            <b/>
            <sz val="8"/>
            <color indexed="81"/>
            <rFont val="Tahoma"/>
            <family val="2"/>
          </rPr>
          <t>lglasson:</t>
        </r>
        <r>
          <rPr>
            <sz val="8"/>
            <color indexed="81"/>
            <rFont val="Tahoma"/>
            <family val="2"/>
          </rPr>
          <t xml:space="preserve">
Up to 5 characters before numeric point</t>
        </r>
      </text>
    </comment>
    <comment ref="AC24" authorId="0" shapeId="0" xr:uid="{00000000-0006-0000-1100-000008000000}">
      <text>
        <r>
          <rPr>
            <b/>
            <sz val="8"/>
            <color indexed="81"/>
            <rFont val="Tahoma"/>
            <family val="2"/>
          </rPr>
          <t>lglasson:</t>
        </r>
        <r>
          <rPr>
            <sz val="8"/>
            <color indexed="81"/>
            <rFont val="Tahoma"/>
            <family val="2"/>
          </rPr>
          <t xml:space="preserve">
Inputs are:
Hours
Days
Weeks
Percent
Units
Months</t>
        </r>
      </text>
    </comment>
    <comment ref="A48" authorId="0" shapeId="0" xr:uid="{00000000-0006-0000-1100-000009000000}">
      <text>
        <r>
          <rPr>
            <b/>
            <sz val="8"/>
            <color indexed="81"/>
            <rFont val="Tahoma"/>
            <family val="2"/>
          </rPr>
          <t>lglasson:</t>
        </r>
        <r>
          <rPr>
            <sz val="8"/>
            <color indexed="81"/>
            <rFont val="Tahoma"/>
            <family val="2"/>
          </rPr>
          <t xml:space="preserve">
As per blueprint</t>
        </r>
      </text>
    </comment>
    <comment ref="A49" authorId="1" shapeId="0" xr:uid="{00000000-0006-0000-1100-00000A000000}">
      <text>
        <r>
          <rPr>
            <b/>
            <sz val="9"/>
            <color indexed="81"/>
            <rFont val="Tahoma"/>
            <family val="2"/>
          </rPr>
          <t>Windows User:</t>
        </r>
        <r>
          <rPr>
            <sz val="9"/>
            <color indexed="81"/>
            <rFont val="Tahoma"/>
            <family val="2"/>
          </rPr>
          <t xml:space="preserve">
capping amount = 23,000,000</t>
        </r>
      </text>
    </comment>
    <comment ref="A66" authorId="1" shapeId="0" xr:uid="{00000000-0006-0000-1100-00000B000000}">
      <text>
        <r>
          <rPr>
            <b/>
            <sz val="9"/>
            <color indexed="81"/>
            <rFont val="Tahoma"/>
            <family val="2"/>
          </rPr>
          <t>Windows User:</t>
        </r>
        <r>
          <rPr>
            <sz val="9"/>
            <color indexed="81"/>
            <rFont val="Tahoma"/>
            <family val="2"/>
          </rPr>
          <t xml:space="preserve">
capping amount = 23,000,000
</t>
        </r>
      </text>
    </comment>
    <comment ref="W90" authorId="0" shapeId="0" xr:uid="{00000000-0006-0000-1100-00000C000000}">
      <text>
        <r>
          <rPr>
            <b/>
            <sz val="8"/>
            <color indexed="81"/>
            <rFont val="Tahoma"/>
            <family val="2"/>
          </rPr>
          <t>lglasson:</t>
        </r>
        <r>
          <rPr>
            <sz val="8"/>
            <color indexed="81"/>
            <rFont val="Tahoma"/>
            <family val="2"/>
          </rPr>
          <t xml:space="preserve">
Compulsory Field.
EE SAP number</t>
        </r>
      </text>
    </comment>
    <comment ref="X90" authorId="0" shapeId="0" xr:uid="{00000000-0006-0000-1100-00000D000000}">
      <text>
        <r>
          <rPr>
            <b/>
            <sz val="8"/>
            <color indexed="81"/>
            <rFont val="Tahoma"/>
            <family val="2"/>
          </rPr>
          <t>lglasson:</t>
        </r>
        <r>
          <rPr>
            <sz val="8"/>
            <color indexed="81"/>
            <rFont val="Tahoma"/>
            <family val="2"/>
          </rPr>
          <t xml:space="preserve">
Compulsory Field.
dd.mm.yyyy</t>
        </r>
      </text>
    </comment>
    <comment ref="Y90" authorId="0" shapeId="0" xr:uid="{00000000-0006-0000-1100-00000E000000}">
      <text>
        <r>
          <rPr>
            <b/>
            <sz val="8"/>
            <color indexed="81"/>
            <rFont val="Tahoma"/>
            <family val="2"/>
          </rPr>
          <t>lglasson:</t>
        </r>
        <r>
          <rPr>
            <sz val="8"/>
            <color indexed="81"/>
            <rFont val="Tahoma"/>
            <family val="2"/>
          </rPr>
          <t xml:space="preserve">
Compulsory Field.
dd.mm.yyyy</t>
        </r>
      </text>
    </comment>
    <comment ref="Z90" authorId="0" shapeId="0" xr:uid="{00000000-0006-0000-1100-00000F000000}">
      <text>
        <r>
          <rPr>
            <b/>
            <sz val="8"/>
            <color indexed="81"/>
            <rFont val="Tahoma"/>
            <family val="2"/>
          </rPr>
          <t>lglasson:</t>
        </r>
        <r>
          <rPr>
            <sz val="8"/>
            <color indexed="81"/>
            <rFont val="Tahoma"/>
            <family val="2"/>
          </rPr>
          <t xml:space="preserve">
Compulsory Field.
4 characters</t>
        </r>
      </text>
    </comment>
    <comment ref="AA90" authorId="0" shapeId="0" xr:uid="{00000000-0006-0000-1100-000010000000}">
      <text>
        <r>
          <rPr>
            <b/>
            <sz val="8"/>
            <color indexed="81"/>
            <rFont val="Tahoma"/>
            <family val="2"/>
          </rPr>
          <t>lglasson:</t>
        </r>
        <r>
          <rPr>
            <sz val="8"/>
            <color indexed="81"/>
            <rFont val="Tahoma"/>
            <family val="2"/>
          </rPr>
          <t xml:space="preserve">
Represents the amount entered into the wage type per pay period without any proration or any other client specific calculation</t>
        </r>
      </text>
    </comment>
    <comment ref="AB90" authorId="0" shapeId="0" xr:uid="{00000000-0006-0000-1100-000011000000}">
      <text>
        <r>
          <rPr>
            <b/>
            <sz val="8"/>
            <color indexed="81"/>
            <rFont val="Tahoma"/>
            <family val="2"/>
          </rPr>
          <t>lglasson:</t>
        </r>
        <r>
          <rPr>
            <sz val="8"/>
            <color indexed="81"/>
            <rFont val="Tahoma"/>
            <family val="2"/>
          </rPr>
          <t xml:space="preserve">
Up to 5 characters before numeric point</t>
        </r>
      </text>
    </comment>
    <comment ref="AC90" authorId="0" shapeId="0" xr:uid="{00000000-0006-0000-1100-000012000000}">
      <text>
        <r>
          <rPr>
            <b/>
            <sz val="8"/>
            <color indexed="81"/>
            <rFont val="Tahoma"/>
            <family val="2"/>
          </rPr>
          <t>lglasson:</t>
        </r>
        <r>
          <rPr>
            <sz val="8"/>
            <color indexed="81"/>
            <rFont val="Tahoma"/>
            <family val="2"/>
          </rPr>
          <t xml:space="preserve">
Inputs are:
Hours
Days
Weeks
Percent
Units
Months</t>
        </r>
      </text>
    </comment>
    <comment ref="W97" authorId="0" shapeId="0" xr:uid="{00000000-0006-0000-1100-000013000000}">
      <text>
        <r>
          <rPr>
            <b/>
            <sz val="8"/>
            <color indexed="81"/>
            <rFont val="Tahoma"/>
            <family val="2"/>
          </rPr>
          <t>lglasson:</t>
        </r>
        <r>
          <rPr>
            <sz val="8"/>
            <color indexed="81"/>
            <rFont val="Tahoma"/>
            <family val="2"/>
          </rPr>
          <t xml:space="preserve">
Compulsory Field.
EE SAP number</t>
        </r>
      </text>
    </comment>
    <comment ref="X97" authorId="0" shapeId="0" xr:uid="{00000000-0006-0000-1100-000014000000}">
      <text>
        <r>
          <rPr>
            <b/>
            <sz val="8"/>
            <color indexed="81"/>
            <rFont val="Tahoma"/>
            <family val="2"/>
          </rPr>
          <t>lglasson:</t>
        </r>
        <r>
          <rPr>
            <sz val="8"/>
            <color indexed="81"/>
            <rFont val="Tahoma"/>
            <family val="2"/>
          </rPr>
          <t xml:space="preserve">
Compulsory Field.
dd.mm.yyyy</t>
        </r>
      </text>
    </comment>
    <comment ref="Y97" authorId="0" shapeId="0" xr:uid="{00000000-0006-0000-1100-000015000000}">
      <text>
        <r>
          <rPr>
            <b/>
            <sz val="8"/>
            <color indexed="81"/>
            <rFont val="Tahoma"/>
            <family val="2"/>
          </rPr>
          <t>lglasson:</t>
        </r>
        <r>
          <rPr>
            <sz val="8"/>
            <color indexed="81"/>
            <rFont val="Tahoma"/>
            <family val="2"/>
          </rPr>
          <t xml:space="preserve">
Compulsory Field.
dd.mm.yyyy</t>
        </r>
      </text>
    </comment>
    <comment ref="Z97" authorId="0" shapeId="0" xr:uid="{00000000-0006-0000-1100-000016000000}">
      <text>
        <r>
          <rPr>
            <b/>
            <sz val="8"/>
            <color indexed="81"/>
            <rFont val="Tahoma"/>
            <family val="2"/>
          </rPr>
          <t>lglasson:</t>
        </r>
        <r>
          <rPr>
            <sz val="8"/>
            <color indexed="81"/>
            <rFont val="Tahoma"/>
            <family val="2"/>
          </rPr>
          <t xml:space="preserve">
Compulsory Field.
4 characters</t>
        </r>
      </text>
    </comment>
    <comment ref="AA97" authorId="0" shapeId="0" xr:uid="{00000000-0006-0000-1100-000017000000}">
      <text>
        <r>
          <rPr>
            <b/>
            <sz val="8"/>
            <color indexed="81"/>
            <rFont val="Tahoma"/>
            <family val="2"/>
          </rPr>
          <t>lglasson:</t>
        </r>
        <r>
          <rPr>
            <sz val="8"/>
            <color indexed="81"/>
            <rFont val="Tahoma"/>
            <family val="2"/>
          </rPr>
          <t xml:space="preserve">
Represents the amount entered into the wage type per pay period without any proration or any other client specific calculation</t>
        </r>
      </text>
    </comment>
    <comment ref="AB97" authorId="0" shapeId="0" xr:uid="{00000000-0006-0000-1100-000018000000}">
      <text>
        <r>
          <rPr>
            <b/>
            <sz val="8"/>
            <color indexed="81"/>
            <rFont val="Tahoma"/>
            <family val="2"/>
          </rPr>
          <t>lglasson:</t>
        </r>
        <r>
          <rPr>
            <sz val="8"/>
            <color indexed="81"/>
            <rFont val="Tahoma"/>
            <family val="2"/>
          </rPr>
          <t xml:space="preserve">
Up to 5 characters before numeric point</t>
        </r>
      </text>
    </comment>
    <comment ref="AC97" authorId="0" shapeId="0" xr:uid="{00000000-0006-0000-1100-000019000000}">
      <text>
        <r>
          <rPr>
            <b/>
            <sz val="8"/>
            <color indexed="81"/>
            <rFont val="Tahoma"/>
            <family val="2"/>
          </rPr>
          <t>lglasson:</t>
        </r>
        <r>
          <rPr>
            <sz val="8"/>
            <color indexed="81"/>
            <rFont val="Tahoma"/>
            <family val="2"/>
          </rPr>
          <t xml:space="preserve">
Inputs are:
Hours
Days
Weeks
Percent
Units
Months</t>
        </r>
      </text>
    </comment>
    <comment ref="J161" authorId="2" shapeId="0" xr:uid="{A6D59F43-E7F4-4B11-BF46-15B156B24881}">
      <text>
        <r>
          <rPr>
            <b/>
            <sz val="9"/>
            <color indexed="81"/>
            <rFont val="Tahoma"/>
            <family val="2"/>
          </rPr>
          <t>EE becomes ineligible to TOIL due to CR changes.</t>
        </r>
        <r>
          <rPr>
            <sz val="9"/>
            <color indexed="81"/>
            <rFont val="Tahoma"/>
            <family val="2"/>
          </rPr>
          <t xml:space="preserve">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Xia, Summer (ESI)</author>
    <author>lglasson</author>
    <author>Windows User</author>
  </authors>
  <commentList>
    <comment ref="D7" authorId="0" shapeId="0" xr:uid="{00000000-0006-0000-1200-000001000000}">
      <text>
        <r>
          <rPr>
            <b/>
            <sz val="9"/>
            <color indexed="81"/>
            <rFont val="Tahoma"/>
            <family val="2"/>
          </rPr>
          <t>Rehired on Oct 1st with new salary package and 6 months contract</t>
        </r>
        <r>
          <rPr>
            <sz val="9"/>
            <color indexed="81"/>
            <rFont val="Tahoma"/>
            <family val="2"/>
          </rPr>
          <t xml:space="preserve">
</t>
        </r>
      </text>
    </comment>
    <comment ref="A24" authorId="1" shapeId="0" xr:uid="{00000000-0006-0000-1200-000002000000}">
      <text>
        <r>
          <rPr>
            <b/>
            <sz val="8"/>
            <color indexed="81"/>
            <rFont val="Tahoma"/>
            <family val="2"/>
          </rPr>
          <t>lglasson:</t>
        </r>
        <r>
          <rPr>
            <sz val="8"/>
            <color indexed="81"/>
            <rFont val="Tahoma"/>
            <family val="2"/>
          </rPr>
          <t xml:space="preserve">
As per blueprint</t>
        </r>
      </text>
    </comment>
    <comment ref="W24" authorId="1" shapeId="0" xr:uid="{00000000-0006-0000-1200-000003000000}">
      <text>
        <r>
          <rPr>
            <b/>
            <sz val="8"/>
            <color indexed="81"/>
            <rFont val="Tahoma"/>
            <family val="2"/>
          </rPr>
          <t>lglasson:</t>
        </r>
        <r>
          <rPr>
            <sz val="8"/>
            <color indexed="81"/>
            <rFont val="Tahoma"/>
            <family val="2"/>
          </rPr>
          <t xml:space="preserve">
Compulsory Field.
EE SAP number</t>
        </r>
      </text>
    </comment>
    <comment ref="X24" authorId="1" shapeId="0" xr:uid="{00000000-0006-0000-1200-000004000000}">
      <text>
        <r>
          <rPr>
            <b/>
            <sz val="8"/>
            <color indexed="81"/>
            <rFont val="Tahoma"/>
            <family val="2"/>
          </rPr>
          <t>lglasson:</t>
        </r>
        <r>
          <rPr>
            <sz val="8"/>
            <color indexed="81"/>
            <rFont val="Tahoma"/>
            <family val="2"/>
          </rPr>
          <t xml:space="preserve">
Compulsory Field.
dd.mm.yyyy</t>
        </r>
      </text>
    </comment>
    <comment ref="Y24" authorId="1" shapeId="0" xr:uid="{00000000-0006-0000-1200-000005000000}">
      <text>
        <r>
          <rPr>
            <b/>
            <sz val="8"/>
            <color indexed="81"/>
            <rFont val="Tahoma"/>
            <family val="2"/>
          </rPr>
          <t>lglasson:</t>
        </r>
        <r>
          <rPr>
            <sz val="8"/>
            <color indexed="81"/>
            <rFont val="Tahoma"/>
            <family val="2"/>
          </rPr>
          <t xml:space="preserve">
Compulsory Field.
dd.mm.yyyy</t>
        </r>
      </text>
    </comment>
    <comment ref="Z24" authorId="1" shapeId="0" xr:uid="{00000000-0006-0000-1200-000006000000}">
      <text>
        <r>
          <rPr>
            <b/>
            <sz val="8"/>
            <color indexed="81"/>
            <rFont val="Tahoma"/>
            <family val="2"/>
          </rPr>
          <t>lglasson:</t>
        </r>
        <r>
          <rPr>
            <sz val="8"/>
            <color indexed="81"/>
            <rFont val="Tahoma"/>
            <family val="2"/>
          </rPr>
          <t xml:space="preserve">
Compulsory Field.
4 characters</t>
        </r>
      </text>
    </comment>
    <comment ref="AA24" authorId="1" shapeId="0" xr:uid="{00000000-0006-0000-1200-000007000000}">
      <text>
        <r>
          <rPr>
            <b/>
            <sz val="8"/>
            <color indexed="81"/>
            <rFont val="Tahoma"/>
            <family val="2"/>
          </rPr>
          <t>lglasson:</t>
        </r>
        <r>
          <rPr>
            <sz val="8"/>
            <color indexed="81"/>
            <rFont val="Tahoma"/>
            <family val="2"/>
          </rPr>
          <t xml:space="preserve">
Represents the amount entered into the wage type per pay period without any proration or any other client specific calculation</t>
        </r>
      </text>
    </comment>
    <comment ref="AB24" authorId="1" shapeId="0" xr:uid="{00000000-0006-0000-1200-000008000000}">
      <text>
        <r>
          <rPr>
            <b/>
            <sz val="8"/>
            <color indexed="81"/>
            <rFont val="Tahoma"/>
            <family val="2"/>
          </rPr>
          <t>lglasson:</t>
        </r>
        <r>
          <rPr>
            <sz val="8"/>
            <color indexed="81"/>
            <rFont val="Tahoma"/>
            <family val="2"/>
          </rPr>
          <t xml:space="preserve">
Up to 5 characters before numeric point</t>
        </r>
      </text>
    </comment>
    <comment ref="AC24" authorId="1" shapeId="0" xr:uid="{00000000-0006-0000-1200-000009000000}">
      <text>
        <r>
          <rPr>
            <b/>
            <sz val="8"/>
            <color indexed="81"/>
            <rFont val="Tahoma"/>
            <family val="2"/>
          </rPr>
          <t>lglasson:</t>
        </r>
        <r>
          <rPr>
            <sz val="8"/>
            <color indexed="81"/>
            <rFont val="Tahoma"/>
            <family val="2"/>
          </rPr>
          <t xml:space="preserve">
Inputs are:
Hours
Days
Weeks
Percent
Units
Months</t>
        </r>
      </text>
    </comment>
    <comment ref="A53" authorId="1" shapeId="0" xr:uid="{00000000-0006-0000-1200-000011000000}">
      <text>
        <r>
          <rPr>
            <b/>
            <sz val="8"/>
            <color indexed="81"/>
            <rFont val="Tahoma"/>
            <family val="2"/>
          </rPr>
          <t>lglasson:</t>
        </r>
        <r>
          <rPr>
            <sz val="8"/>
            <color indexed="81"/>
            <rFont val="Tahoma"/>
            <family val="2"/>
          </rPr>
          <t xml:space="preserve">
As per blueprint</t>
        </r>
      </text>
    </comment>
    <comment ref="A54" authorId="2" shapeId="0" xr:uid="{00000000-0006-0000-1200-000012000000}">
      <text>
        <r>
          <rPr>
            <b/>
            <sz val="9"/>
            <color indexed="81"/>
            <rFont val="Tahoma"/>
            <family val="2"/>
          </rPr>
          <t>Windows User:</t>
        </r>
        <r>
          <rPr>
            <sz val="9"/>
            <color indexed="81"/>
            <rFont val="Tahoma"/>
            <family val="2"/>
          </rPr>
          <t xml:space="preserve">
capping amount = 23,000,000</t>
        </r>
      </text>
    </comment>
    <comment ref="A71" authorId="2" shapeId="0" xr:uid="{00000000-0006-0000-1200-00001A000000}">
      <text>
        <r>
          <rPr>
            <b/>
            <sz val="9"/>
            <color indexed="81"/>
            <rFont val="Tahoma"/>
            <family val="2"/>
          </rPr>
          <t>Windows User:</t>
        </r>
        <r>
          <rPr>
            <sz val="9"/>
            <color indexed="81"/>
            <rFont val="Tahoma"/>
            <family val="2"/>
          </rPr>
          <t xml:space="preserve">
capping amount = 23,000,000
</t>
        </r>
      </text>
    </comment>
    <comment ref="W94" authorId="1" shapeId="0" xr:uid="{00000000-0006-0000-1200-00000A000000}">
      <text>
        <r>
          <rPr>
            <b/>
            <sz val="8"/>
            <color indexed="81"/>
            <rFont val="Tahoma"/>
            <family val="2"/>
          </rPr>
          <t>lglasson:</t>
        </r>
        <r>
          <rPr>
            <sz val="8"/>
            <color indexed="81"/>
            <rFont val="Tahoma"/>
            <family val="2"/>
          </rPr>
          <t xml:space="preserve">
Compulsory Field.
EE SAP number</t>
        </r>
      </text>
    </comment>
    <comment ref="X94" authorId="1" shapeId="0" xr:uid="{00000000-0006-0000-1200-00000B000000}">
      <text>
        <r>
          <rPr>
            <b/>
            <sz val="8"/>
            <color indexed="81"/>
            <rFont val="Tahoma"/>
            <family val="2"/>
          </rPr>
          <t>lglasson:</t>
        </r>
        <r>
          <rPr>
            <sz val="8"/>
            <color indexed="81"/>
            <rFont val="Tahoma"/>
            <family val="2"/>
          </rPr>
          <t xml:space="preserve">
Compulsory Field.
dd.mm.yyyy</t>
        </r>
      </text>
    </comment>
    <comment ref="Y94" authorId="1" shapeId="0" xr:uid="{00000000-0006-0000-1200-00000C000000}">
      <text>
        <r>
          <rPr>
            <b/>
            <sz val="8"/>
            <color indexed="81"/>
            <rFont val="Tahoma"/>
            <family val="2"/>
          </rPr>
          <t>lglasson:</t>
        </r>
        <r>
          <rPr>
            <sz val="8"/>
            <color indexed="81"/>
            <rFont val="Tahoma"/>
            <family val="2"/>
          </rPr>
          <t xml:space="preserve">
Compulsory Field.
dd.mm.yyyy</t>
        </r>
      </text>
    </comment>
    <comment ref="Z94" authorId="1" shapeId="0" xr:uid="{00000000-0006-0000-1200-00000D000000}">
      <text>
        <r>
          <rPr>
            <b/>
            <sz val="8"/>
            <color indexed="81"/>
            <rFont val="Tahoma"/>
            <family val="2"/>
          </rPr>
          <t>lglasson:</t>
        </r>
        <r>
          <rPr>
            <sz val="8"/>
            <color indexed="81"/>
            <rFont val="Tahoma"/>
            <family val="2"/>
          </rPr>
          <t xml:space="preserve">
Compulsory Field.
4 characters</t>
        </r>
      </text>
    </comment>
    <comment ref="AA94" authorId="1" shapeId="0" xr:uid="{00000000-0006-0000-1200-00000E000000}">
      <text>
        <r>
          <rPr>
            <b/>
            <sz val="8"/>
            <color indexed="81"/>
            <rFont val="Tahoma"/>
            <family val="2"/>
          </rPr>
          <t>lglasson:</t>
        </r>
        <r>
          <rPr>
            <sz val="8"/>
            <color indexed="81"/>
            <rFont val="Tahoma"/>
            <family val="2"/>
          </rPr>
          <t xml:space="preserve">
Represents the amount entered into the wage type per pay period without any proration or any other client specific calculation</t>
        </r>
      </text>
    </comment>
    <comment ref="AB94" authorId="1" shapeId="0" xr:uid="{00000000-0006-0000-1200-00000F000000}">
      <text>
        <r>
          <rPr>
            <b/>
            <sz val="8"/>
            <color indexed="81"/>
            <rFont val="Tahoma"/>
            <family val="2"/>
          </rPr>
          <t>lglasson:</t>
        </r>
        <r>
          <rPr>
            <sz val="8"/>
            <color indexed="81"/>
            <rFont val="Tahoma"/>
            <family val="2"/>
          </rPr>
          <t xml:space="preserve">
Up to 5 characters before numeric point</t>
        </r>
      </text>
    </comment>
    <comment ref="AC94" authorId="1" shapeId="0" xr:uid="{00000000-0006-0000-1200-000010000000}">
      <text>
        <r>
          <rPr>
            <b/>
            <sz val="8"/>
            <color indexed="81"/>
            <rFont val="Tahoma"/>
            <family val="2"/>
          </rPr>
          <t>lglasson:</t>
        </r>
        <r>
          <rPr>
            <sz val="8"/>
            <color indexed="81"/>
            <rFont val="Tahoma"/>
            <family val="2"/>
          </rPr>
          <t xml:space="preserve">
Inputs are:
Hours
Days
Weeks
Percent
Units
Months</t>
        </r>
      </text>
    </comment>
    <comment ref="W106" authorId="1" shapeId="0" xr:uid="{00000000-0006-0000-1200-000013000000}">
      <text>
        <r>
          <rPr>
            <b/>
            <sz val="8"/>
            <color indexed="81"/>
            <rFont val="Tahoma"/>
            <family val="2"/>
          </rPr>
          <t>lglasson:</t>
        </r>
        <r>
          <rPr>
            <sz val="8"/>
            <color indexed="81"/>
            <rFont val="Tahoma"/>
            <family val="2"/>
          </rPr>
          <t xml:space="preserve">
Compulsory Field.
EE SAP number</t>
        </r>
      </text>
    </comment>
    <comment ref="X106" authorId="1" shapeId="0" xr:uid="{00000000-0006-0000-1200-000014000000}">
      <text>
        <r>
          <rPr>
            <b/>
            <sz val="8"/>
            <color indexed="81"/>
            <rFont val="Tahoma"/>
            <family val="2"/>
          </rPr>
          <t>lglasson:</t>
        </r>
        <r>
          <rPr>
            <sz val="8"/>
            <color indexed="81"/>
            <rFont val="Tahoma"/>
            <family val="2"/>
          </rPr>
          <t xml:space="preserve">
Compulsory Field.
dd.mm.yyyy</t>
        </r>
      </text>
    </comment>
    <comment ref="Y106" authorId="1" shapeId="0" xr:uid="{00000000-0006-0000-1200-000015000000}">
      <text>
        <r>
          <rPr>
            <b/>
            <sz val="8"/>
            <color indexed="81"/>
            <rFont val="Tahoma"/>
            <family val="2"/>
          </rPr>
          <t>lglasson:</t>
        </r>
        <r>
          <rPr>
            <sz val="8"/>
            <color indexed="81"/>
            <rFont val="Tahoma"/>
            <family val="2"/>
          </rPr>
          <t xml:space="preserve">
Compulsory Field.
dd.mm.yyyy</t>
        </r>
      </text>
    </comment>
    <comment ref="Z106" authorId="1" shapeId="0" xr:uid="{00000000-0006-0000-1200-000016000000}">
      <text>
        <r>
          <rPr>
            <b/>
            <sz val="8"/>
            <color indexed="81"/>
            <rFont val="Tahoma"/>
            <family val="2"/>
          </rPr>
          <t>lglasson:</t>
        </r>
        <r>
          <rPr>
            <sz val="8"/>
            <color indexed="81"/>
            <rFont val="Tahoma"/>
            <family val="2"/>
          </rPr>
          <t xml:space="preserve">
Compulsory Field.
4 characters</t>
        </r>
      </text>
    </comment>
    <comment ref="AA106" authorId="1" shapeId="0" xr:uid="{00000000-0006-0000-1200-000017000000}">
      <text>
        <r>
          <rPr>
            <b/>
            <sz val="8"/>
            <color indexed="81"/>
            <rFont val="Tahoma"/>
            <family val="2"/>
          </rPr>
          <t>lglasson:</t>
        </r>
        <r>
          <rPr>
            <sz val="8"/>
            <color indexed="81"/>
            <rFont val="Tahoma"/>
            <family val="2"/>
          </rPr>
          <t xml:space="preserve">
Represents the amount entered into the wage type per pay period without any proration or any other client specific calculation</t>
        </r>
      </text>
    </comment>
    <comment ref="AB106" authorId="1" shapeId="0" xr:uid="{00000000-0006-0000-1200-000018000000}">
      <text>
        <r>
          <rPr>
            <b/>
            <sz val="8"/>
            <color indexed="81"/>
            <rFont val="Tahoma"/>
            <family val="2"/>
          </rPr>
          <t>lglasson:</t>
        </r>
        <r>
          <rPr>
            <sz val="8"/>
            <color indexed="81"/>
            <rFont val="Tahoma"/>
            <family val="2"/>
          </rPr>
          <t xml:space="preserve">
Up to 5 characters before numeric point</t>
        </r>
      </text>
    </comment>
    <comment ref="AC106" authorId="1" shapeId="0" xr:uid="{00000000-0006-0000-1200-000019000000}">
      <text>
        <r>
          <rPr>
            <b/>
            <sz val="8"/>
            <color indexed="81"/>
            <rFont val="Tahoma"/>
            <family val="2"/>
          </rPr>
          <t>lglasson:</t>
        </r>
        <r>
          <rPr>
            <sz val="8"/>
            <color indexed="81"/>
            <rFont val="Tahoma"/>
            <family val="2"/>
          </rPr>
          <t xml:space="preserve">
Inputs are:
Hours
Days
Weeks
Percent
Units
Months</t>
        </r>
      </text>
    </comment>
    <comment ref="E109" authorId="0" shapeId="0" xr:uid="{00000000-0006-0000-1200-000022000000}">
      <text>
        <r>
          <rPr>
            <b/>
            <sz val="9"/>
            <color indexed="81"/>
            <rFont val="Tahoma"/>
            <family val="2"/>
          </rPr>
          <t>PH is counted as unpaid day due to full month absence</t>
        </r>
      </text>
    </comment>
    <comment ref="H109" authorId="0" shapeId="0" xr:uid="{00000000-0006-0000-1200-000023000000}">
      <text>
        <r>
          <rPr>
            <b/>
            <sz val="9"/>
            <color indexed="81"/>
            <rFont val="Tahoma"/>
            <family val="2"/>
          </rPr>
          <t>PH is not counted as unpaid day</t>
        </r>
        <r>
          <rPr>
            <sz val="9"/>
            <color indexed="81"/>
            <rFont val="Tahoma"/>
            <family val="2"/>
          </rPr>
          <t xml:space="preserve">
</t>
        </r>
      </text>
    </comment>
    <comment ref="W118" authorId="1" shapeId="0" xr:uid="{00000000-0006-0000-1200-00001B000000}">
      <text>
        <r>
          <rPr>
            <b/>
            <sz val="8"/>
            <color indexed="81"/>
            <rFont val="Tahoma"/>
            <family val="2"/>
          </rPr>
          <t>lglasson:</t>
        </r>
        <r>
          <rPr>
            <sz val="8"/>
            <color indexed="81"/>
            <rFont val="Tahoma"/>
            <family val="2"/>
          </rPr>
          <t xml:space="preserve">
Compulsory Field.
EE SAP number</t>
        </r>
      </text>
    </comment>
    <comment ref="X118" authorId="1" shapeId="0" xr:uid="{00000000-0006-0000-1200-00001C000000}">
      <text>
        <r>
          <rPr>
            <b/>
            <sz val="8"/>
            <color indexed="81"/>
            <rFont val="Tahoma"/>
            <family val="2"/>
          </rPr>
          <t>lglasson:</t>
        </r>
        <r>
          <rPr>
            <sz val="8"/>
            <color indexed="81"/>
            <rFont val="Tahoma"/>
            <family val="2"/>
          </rPr>
          <t xml:space="preserve">
Compulsory Field.
dd.mm.yyyy</t>
        </r>
      </text>
    </comment>
    <comment ref="Y118" authorId="1" shapeId="0" xr:uid="{00000000-0006-0000-1200-00001D000000}">
      <text>
        <r>
          <rPr>
            <b/>
            <sz val="8"/>
            <color indexed="81"/>
            <rFont val="Tahoma"/>
            <family val="2"/>
          </rPr>
          <t>lglasson:</t>
        </r>
        <r>
          <rPr>
            <sz val="8"/>
            <color indexed="81"/>
            <rFont val="Tahoma"/>
            <family val="2"/>
          </rPr>
          <t xml:space="preserve">
Compulsory Field.
dd.mm.yyyy</t>
        </r>
      </text>
    </comment>
    <comment ref="Z118" authorId="1" shapeId="0" xr:uid="{00000000-0006-0000-1200-00001E000000}">
      <text>
        <r>
          <rPr>
            <b/>
            <sz val="8"/>
            <color indexed="81"/>
            <rFont val="Tahoma"/>
            <family val="2"/>
          </rPr>
          <t>lglasson:</t>
        </r>
        <r>
          <rPr>
            <sz val="8"/>
            <color indexed="81"/>
            <rFont val="Tahoma"/>
            <family val="2"/>
          </rPr>
          <t xml:space="preserve">
Compulsory Field.
4 characters</t>
        </r>
      </text>
    </comment>
    <comment ref="AA118" authorId="1" shapeId="0" xr:uid="{00000000-0006-0000-1200-00001F000000}">
      <text>
        <r>
          <rPr>
            <b/>
            <sz val="8"/>
            <color indexed="81"/>
            <rFont val="Tahoma"/>
            <family val="2"/>
          </rPr>
          <t>lglasson:</t>
        </r>
        <r>
          <rPr>
            <sz val="8"/>
            <color indexed="81"/>
            <rFont val="Tahoma"/>
            <family val="2"/>
          </rPr>
          <t xml:space="preserve">
Represents the amount entered into the wage type per pay period without any proration or any other client specific calculation</t>
        </r>
      </text>
    </comment>
    <comment ref="AB118" authorId="1" shapeId="0" xr:uid="{00000000-0006-0000-1200-000020000000}">
      <text>
        <r>
          <rPr>
            <b/>
            <sz val="8"/>
            <color indexed="81"/>
            <rFont val="Tahoma"/>
            <family val="2"/>
          </rPr>
          <t>lglasson:</t>
        </r>
        <r>
          <rPr>
            <sz val="8"/>
            <color indexed="81"/>
            <rFont val="Tahoma"/>
            <family val="2"/>
          </rPr>
          <t xml:space="preserve">
Up to 5 characters before numeric point</t>
        </r>
      </text>
    </comment>
    <comment ref="AC118" authorId="1" shapeId="0" xr:uid="{00000000-0006-0000-1200-000021000000}">
      <text>
        <r>
          <rPr>
            <b/>
            <sz val="8"/>
            <color indexed="81"/>
            <rFont val="Tahoma"/>
            <family val="2"/>
          </rPr>
          <t>lglasson:</t>
        </r>
        <r>
          <rPr>
            <sz val="8"/>
            <color indexed="81"/>
            <rFont val="Tahoma"/>
            <family val="2"/>
          </rPr>
          <t xml:space="preserve">
Inputs are:
Hours
Days
Weeks
Percent
Units
Months</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lglasson</author>
    <author>Xia, Summer (ESI)</author>
    <author>Windows User</author>
  </authors>
  <commentList>
    <comment ref="W24" authorId="0" shapeId="0" xr:uid="{00000000-0006-0000-1300-000001000000}">
      <text>
        <r>
          <rPr>
            <b/>
            <sz val="8"/>
            <color indexed="81"/>
            <rFont val="Tahoma"/>
            <family val="2"/>
          </rPr>
          <t>lglasson:</t>
        </r>
        <r>
          <rPr>
            <sz val="8"/>
            <color indexed="81"/>
            <rFont val="Tahoma"/>
            <family val="2"/>
          </rPr>
          <t xml:space="preserve">
Compulsory Field.
EE SAP number</t>
        </r>
      </text>
    </comment>
    <comment ref="X24" authorId="0" shapeId="0" xr:uid="{00000000-0006-0000-1300-000002000000}">
      <text>
        <r>
          <rPr>
            <b/>
            <sz val="8"/>
            <color indexed="81"/>
            <rFont val="Tahoma"/>
            <family val="2"/>
          </rPr>
          <t>lglasson:</t>
        </r>
        <r>
          <rPr>
            <sz val="8"/>
            <color indexed="81"/>
            <rFont val="Tahoma"/>
            <family val="2"/>
          </rPr>
          <t xml:space="preserve">
Compulsory Field.
dd.mm.yyyy</t>
        </r>
      </text>
    </comment>
    <comment ref="Y24" authorId="0" shapeId="0" xr:uid="{00000000-0006-0000-1300-000003000000}">
      <text>
        <r>
          <rPr>
            <b/>
            <sz val="8"/>
            <color indexed="81"/>
            <rFont val="Tahoma"/>
            <family val="2"/>
          </rPr>
          <t>lglasson:</t>
        </r>
        <r>
          <rPr>
            <sz val="8"/>
            <color indexed="81"/>
            <rFont val="Tahoma"/>
            <family val="2"/>
          </rPr>
          <t xml:space="preserve">
Compulsory Field.
dd.mm.yyyy</t>
        </r>
      </text>
    </comment>
    <comment ref="Z24" authorId="0" shapeId="0" xr:uid="{00000000-0006-0000-1300-000004000000}">
      <text>
        <r>
          <rPr>
            <b/>
            <sz val="8"/>
            <color indexed="81"/>
            <rFont val="Tahoma"/>
            <family val="2"/>
          </rPr>
          <t>lglasson:</t>
        </r>
        <r>
          <rPr>
            <sz val="8"/>
            <color indexed="81"/>
            <rFont val="Tahoma"/>
            <family val="2"/>
          </rPr>
          <t xml:space="preserve">
Compulsory Field.
4 characters</t>
        </r>
      </text>
    </comment>
    <comment ref="AA24" authorId="0" shapeId="0" xr:uid="{00000000-0006-0000-1300-000005000000}">
      <text>
        <r>
          <rPr>
            <b/>
            <sz val="8"/>
            <color indexed="81"/>
            <rFont val="Tahoma"/>
            <family val="2"/>
          </rPr>
          <t>lglasson:</t>
        </r>
        <r>
          <rPr>
            <sz val="8"/>
            <color indexed="81"/>
            <rFont val="Tahoma"/>
            <family val="2"/>
          </rPr>
          <t xml:space="preserve">
Represents the amount entered into the wage type per pay period without any proration or any other client specific calculation</t>
        </r>
      </text>
    </comment>
    <comment ref="AB24" authorId="0" shapeId="0" xr:uid="{00000000-0006-0000-1300-000006000000}">
      <text>
        <r>
          <rPr>
            <b/>
            <sz val="8"/>
            <color indexed="81"/>
            <rFont val="Tahoma"/>
            <family val="2"/>
          </rPr>
          <t>lglasson:</t>
        </r>
        <r>
          <rPr>
            <sz val="8"/>
            <color indexed="81"/>
            <rFont val="Tahoma"/>
            <family val="2"/>
          </rPr>
          <t xml:space="preserve">
Up to 5 characters before numeric point</t>
        </r>
      </text>
    </comment>
    <comment ref="AC24" authorId="0" shapeId="0" xr:uid="{00000000-0006-0000-1300-000007000000}">
      <text>
        <r>
          <rPr>
            <b/>
            <sz val="8"/>
            <color indexed="81"/>
            <rFont val="Tahoma"/>
            <family val="2"/>
          </rPr>
          <t>lglasson:</t>
        </r>
        <r>
          <rPr>
            <sz val="8"/>
            <color indexed="81"/>
            <rFont val="Tahoma"/>
            <family val="2"/>
          </rPr>
          <t xml:space="preserve">
Inputs are:
Hours
Days
Weeks
Percent
Units
Months</t>
        </r>
      </text>
    </comment>
    <comment ref="A25" authorId="0" shapeId="0" xr:uid="{00000000-0006-0000-1300-000008000000}">
      <text>
        <r>
          <rPr>
            <b/>
            <sz val="8"/>
            <color indexed="81"/>
            <rFont val="Tahoma"/>
            <family val="2"/>
          </rPr>
          <t>lglasson:</t>
        </r>
        <r>
          <rPr>
            <sz val="8"/>
            <color indexed="81"/>
            <rFont val="Tahoma"/>
            <family val="2"/>
          </rPr>
          <t xml:space="preserve">
As per blueprint</t>
        </r>
      </text>
    </comment>
    <comment ref="H32" authorId="1" shapeId="0" xr:uid="{00000000-0006-0000-1300-000009000000}">
      <text>
        <r>
          <rPr>
            <b/>
            <sz val="9"/>
            <color indexed="81"/>
            <rFont val="Tahoma"/>
            <family val="2"/>
          </rPr>
          <t>WT5060 is only used for overused SL quota balance</t>
        </r>
        <r>
          <rPr>
            <sz val="9"/>
            <color indexed="81"/>
            <rFont val="Tahoma"/>
            <family val="2"/>
          </rPr>
          <t xml:space="preserve">
</t>
        </r>
      </text>
    </comment>
    <comment ref="N32" authorId="1" shapeId="0" xr:uid="{00000000-0006-0000-1300-00000A000000}">
      <text>
        <r>
          <rPr>
            <b/>
            <sz val="9"/>
            <color indexed="81"/>
            <rFont val="Tahoma"/>
            <family val="2"/>
          </rPr>
          <t>WT5060 is only used for overused SL quota balance</t>
        </r>
        <r>
          <rPr>
            <sz val="9"/>
            <color indexed="81"/>
            <rFont val="Tahoma"/>
            <family val="2"/>
          </rPr>
          <t xml:space="preserve">
</t>
        </r>
      </text>
    </comment>
    <comment ref="A45" authorId="0" shapeId="0" xr:uid="{00000000-0006-0000-1300-00000B000000}">
      <text>
        <r>
          <rPr>
            <b/>
            <sz val="8"/>
            <color indexed="81"/>
            <rFont val="Tahoma"/>
            <family val="2"/>
          </rPr>
          <t>lglasson:</t>
        </r>
        <r>
          <rPr>
            <sz val="8"/>
            <color indexed="81"/>
            <rFont val="Tahoma"/>
            <family val="2"/>
          </rPr>
          <t xml:space="preserve">
As per blueprint</t>
        </r>
      </text>
    </comment>
    <comment ref="W45" authorId="0" shapeId="0" xr:uid="{00000000-0006-0000-1300-00000C000000}">
      <text>
        <r>
          <rPr>
            <b/>
            <sz val="8"/>
            <color indexed="81"/>
            <rFont val="Tahoma"/>
            <family val="2"/>
          </rPr>
          <t>lglasson:</t>
        </r>
        <r>
          <rPr>
            <sz val="8"/>
            <color indexed="81"/>
            <rFont val="Tahoma"/>
            <family val="2"/>
          </rPr>
          <t xml:space="preserve">
Compulsory Field.
EE SAP number</t>
        </r>
      </text>
    </comment>
    <comment ref="X45" authorId="0" shapeId="0" xr:uid="{00000000-0006-0000-1300-00000D000000}">
      <text>
        <r>
          <rPr>
            <b/>
            <sz val="8"/>
            <color indexed="81"/>
            <rFont val="Tahoma"/>
            <family val="2"/>
          </rPr>
          <t>lglasson:</t>
        </r>
        <r>
          <rPr>
            <sz val="8"/>
            <color indexed="81"/>
            <rFont val="Tahoma"/>
            <family val="2"/>
          </rPr>
          <t xml:space="preserve">
Compulsory Field.
dd.mm.yyyy</t>
        </r>
      </text>
    </comment>
    <comment ref="Y45" authorId="0" shapeId="0" xr:uid="{00000000-0006-0000-1300-00000E000000}">
      <text>
        <r>
          <rPr>
            <b/>
            <sz val="8"/>
            <color indexed="81"/>
            <rFont val="Tahoma"/>
            <family val="2"/>
          </rPr>
          <t>lglasson:</t>
        </r>
        <r>
          <rPr>
            <sz val="8"/>
            <color indexed="81"/>
            <rFont val="Tahoma"/>
            <family val="2"/>
          </rPr>
          <t xml:space="preserve">
Compulsory Field.
dd.mm.yyyy</t>
        </r>
      </text>
    </comment>
    <comment ref="Z45" authorId="0" shapeId="0" xr:uid="{00000000-0006-0000-1300-00000F000000}">
      <text>
        <r>
          <rPr>
            <b/>
            <sz val="8"/>
            <color indexed="81"/>
            <rFont val="Tahoma"/>
            <family val="2"/>
          </rPr>
          <t>lglasson:</t>
        </r>
        <r>
          <rPr>
            <sz val="8"/>
            <color indexed="81"/>
            <rFont val="Tahoma"/>
            <family val="2"/>
          </rPr>
          <t xml:space="preserve">
Compulsory Field.
4 characters</t>
        </r>
      </text>
    </comment>
    <comment ref="AA45" authorId="0" shapeId="0" xr:uid="{00000000-0006-0000-1300-000010000000}">
      <text>
        <r>
          <rPr>
            <b/>
            <sz val="8"/>
            <color indexed="81"/>
            <rFont val="Tahoma"/>
            <family val="2"/>
          </rPr>
          <t>lglasson:</t>
        </r>
        <r>
          <rPr>
            <sz val="8"/>
            <color indexed="81"/>
            <rFont val="Tahoma"/>
            <family val="2"/>
          </rPr>
          <t xml:space="preserve">
Represents the amount entered into the wage type per pay period without any proration or any other client specific calculation</t>
        </r>
      </text>
    </comment>
    <comment ref="AB45" authorId="0" shapeId="0" xr:uid="{00000000-0006-0000-1300-000011000000}">
      <text>
        <r>
          <rPr>
            <b/>
            <sz val="8"/>
            <color indexed="81"/>
            <rFont val="Tahoma"/>
            <family val="2"/>
          </rPr>
          <t>lglasson:</t>
        </r>
        <r>
          <rPr>
            <sz val="8"/>
            <color indexed="81"/>
            <rFont val="Tahoma"/>
            <family val="2"/>
          </rPr>
          <t xml:space="preserve">
Up to 5 characters before numeric point</t>
        </r>
      </text>
    </comment>
    <comment ref="AC45" authorId="0" shapeId="0" xr:uid="{00000000-0006-0000-1300-000012000000}">
      <text>
        <r>
          <rPr>
            <b/>
            <sz val="8"/>
            <color indexed="81"/>
            <rFont val="Tahoma"/>
            <family val="2"/>
          </rPr>
          <t>lglasson:</t>
        </r>
        <r>
          <rPr>
            <sz val="8"/>
            <color indexed="81"/>
            <rFont val="Tahoma"/>
            <family val="2"/>
          </rPr>
          <t xml:space="preserve">
Inputs are:
Hours
Days
Weeks
Percent
Units
Months</t>
        </r>
      </text>
    </comment>
    <comment ref="A46" authorId="2" shapeId="0" xr:uid="{00000000-0006-0000-1300-000013000000}">
      <text>
        <r>
          <rPr>
            <b/>
            <sz val="9"/>
            <color indexed="81"/>
            <rFont val="Tahoma"/>
            <family val="2"/>
          </rPr>
          <t>Windows User:</t>
        </r>
        <r>
          <rPr>
            <sz val="9"/>
            <color indexed="81"/>
            <rFont val="Tahoma"/>
            <family val="2"/>
          </rPr>
          <t xml:space="preserve">
capping amount = 23,000,000</t>
        </r>
      </text>
    </comment>
    <comment ref="A60" authorId="2" shapeId="0" xr:uid="{00000000-0006-0000-1300-000014000000}">
      <text>
        <r>
          <rPr>
            <b/>
            <sz val="9"/>
            <color indexed="81"/>
            <rFont val="Tahoma"/>
            <family val="2"/>
          </rPr>
          <t>Windows User:</t>
        </r>
        <r>
          <rPr>
            <sz val="9"/>
            <color indexed="81"/>
            <rFont val="Tahoma"/>
            <family val="2"/>
          </rPr>
          <t xml:space="preserve">
capping amount = 23,000,000
</t>
        </r>
      </text>
    </comment>
    <comment ref="W61" authorId="0" shapeId="0" xr:uid="{00000000-0006-0000-1300-000015000000}">
      <text>
        <r>
          <rPr>
            <b/>
            <sz val="8"/>
            <color indexed="81"/>
            <rFont val="Tahoma"/>
            <family val="2"/>
          </rPr>
          <t>lglasson:</t>
        </r>
        <r>
          <rPr>
            <sz val="8"/>
            <color indexed="81"/>
            <rFont val="Tahoma"/>
            <family val="2"/>
          </rPr>
          <t xml:space="preserve">
Compulsory Field.
EE SAP number</t>
        </r>
      </text>
    </comment>
    <comment ref="X61" authorId="0" shapeId="0" xr:uid="{00000000-0006-0000-1300-000016000000}">
      <text>
        <r>
          <rPr>
            <b/>
            <sz val="8"/>
            <color indexed="81"/>
            <rFont val="Tahoma"/>
            <family val="2"/>
          </rPr>
          <t>lglasson:</t>
        </r>
        <r>
          <rPr>
            <sz val="8"/>
            <color indexed="81"/>
            <rFont val="Tahoma"/>
            <family val="2"/>
          </rPr>
          <t xml:space="preserve">
Compulsory Field.
dd.mm.yyyy</t>
        </r>
      </text>
    </comment>
    <comment ref="Y61" authorId="0" shapeId="0" xr:uid="{00000000-0006-0000-1300-000017000000}">
      <text>
        <r>
          <rPr>
            <b/>
            <sz val="8"/>
            <color indexed="81"/>
            <rFont val="Tahoma"/>
            <family val="2"/>
          </rPr>
          <t>lglasson:</t>
        </r>
        <r>
          <rPr>
            <sz val="8"/>
            <color indexed="81"/>
            <rFont val="Tahoma"/>
            <family val="2"/>
          </rPr>
          <t xml:space="preserve">
Compulsory Field.
dd.mm.yyyy</t>
        </r>
      </text>
    </comment>
    <comment ref="Z61" authorId="0" shapeId="0" xr:uid="{00000000-0006-0000-1300-000018000000}">
      <text>
        <r>
          <rPr>
            <b/>
            <sz val="8"/>
            <color indexed="81"/>
            <rFont val="Tahoma"/>
            <family val="2"/>
          </rPr>
          <t>lglasson:</t>
        </r>
        <r>
          <rPr>
            <sz val="8"/>
            <color indexed="81"/>
            <rFont val="Tahoma"/>
            <family val="2"/>
          </rPr>
          <t xml:space="preserve">
Compulsory Field.
4 characters</t>
        </r>
      </text>
    </comment>
    <comment ref="AA61" authorId="0" shapeId="0" xr:uid="{00000000-0006-0000-1300-000019000000}">
      <text>
        <r>
          <rPr>
            <b/>
            <sz val="8"/>
            <color indexed="81"/>
            <rFont val="Tahoma"/>
            <family val="2"/>
          </rPr>
          <t>lglasson:</t>
        </r>
        <r>
          <rPr>
            <sz val="8"/>
            <color indexed="81"/>
            <rFont val="Tahoma"/>
            <family val="2"/>
          </rPr>
          <t xml:space="preserve">
Represents the amount entered into the wage type per pay period without any proration or any other client specific calculation</t>
        </r>
      </text>
    </comment>
    <comment ref="AB61" authorId="0" shapeId="0" xr:uid="{00000000-0006-0000-1300-00001A000000}">
      <text>
        <r>
          <rPr>
            <b/>
            <sz val="8"/>
            <color indexed="81"/>
            <rFont val="Tahoma"/>
            <family val="2"/>
          </rPr>
          <t>lglasson:</t>
        </r>
        <r>
          <rPr>
            <sz val="8"/>
            <color indexed="81"/>
            <rFont val="Tahoma"/>
            <family val="2"/>
          </rPr>
          <t xml:space="preserve">
Up to 5 characters before numeric point</t>
        </r>
      </text>
    </comment>
    <comment ref="AC61" authorId="0" shapeId="0" xr:uid="{00000000-0006-0000-1300-00001B000000}">
      <text>
        <r>
          <rPr>
            <b/>
            <sz val="8"/>
            <color indexed="81"/>
            <rFont val="Tahoma"/>
            <family val="2"/>
          </rPr>
          <t>lglasson:</t>
        </r>
        <r>
          <rPr>
            <sz val="8"/>
            <color indexed="81"/>
            <rFont val="Tahoma"/>
            <family val="2"/>
          </rPr>
          <t xml:space="preserve">
Inputs are:
Hours
Days
Weeks
Percent
Units
Months</t>
        </r>
      </text>
    </comment>
    <comment ref="W72" authorId="0" shapeId="0" xr:uid="{00000000-0006-0000-1300-00001C000000}">
      <text>
        <r>
          <rPr>
            <b/>
            <sz val="8"/>
            <color indexed="81"/>
            <rFont val="Tahoma"/>
            <family val="2"/>
          </rPr>
          <t>lglasson:</t>
        </r>
        <r>
          <rPr>
            <sz val="8"/>
            <color indexed="81"/>
            <rFont val="Tahoma"/>
            <family val="2"/>
          </rPr>
          <t xml:space="preserve">
Compulsory Field.
EE SAP number</t>
        </r>
      </text>
    </comment>
    <comment ref="X72" authorId="0" shapeId="0" xr:uid="{00000000-0006-0000-1300-00001D000000}">
      <text>
        <r>
          <rPr>
            <b/>
            <sz val="8"/>
            <color indexed="81"/>
            <rFont val="Tahoma"/>
            <family val="2"/>
          </rPr>
          <t>lglasson:</t>
        </r>
        <r>
          <rPr>
            <sz val="8"/>
            <color indexed="81"/>
            <rFont val="Tahoma"/>
            <family val="2"/>
          </rPr>
          <t xml:space="preserve">
Compulsory Field.
dd.mm.yyyy</t>
        </r>
      </text>
    </comment>
    <comment ref="Y72" authorId="0" shapeId="0" xr:uid="{00000000-0006-0000-1300-00001E000000}">
      <text>
        <r>
          <rPr>
            <b/>
            <sz val="8"/>
            <color indexed="81"/>
            <rFont val="Tahoma"/>
            <family val="2"/>
          </rPr>
          <t>lglasson:</t>
        </r>
        <r>
          <rPr>
            <sz val="8"/>
            <color indexed="81"/>
            <rFont val="Tahoma"/>
            <family val="2"/>
          </rPr>
          <t xml:space="preserve">
Compulsory Field.
dd.mm.yyyy</t>
        </r>
      </text>
    </comment>
    <comment ref="Z72" authorId="0" shapeId="0" xr:uid="{00000000-0006-0000-1300-00001F000000}">
      <text>
        <r>
          <rPr>
            <b/>
            <sz val="8"/>
            <color indexed="81"/>
            <rFont val="Tahoma"/>
            <family val="2"/>
          </rPr>
          <t>lglasson:</t>
        </r>
        <r>
          <rPr>
            <sz val="8"/>
            <color indexed="81"/>
            <rFont val="Tahoma"/>
            <family val="2"/>
          </rPr>
          <t xml:space="preserve">
Compulsory Field.
4 characters</t>
        </r>
      </text>
    </comment>
    <comment ref="AA72" authorId="0" shapeId="0" xr:uid="{00000000-0006-0000-1300-000020000000}">
      <text>
        <r>
          <rPr>
            <b/>
            <sz val="8"/>
            <color indexed="81"/>
            <rFont val="Tahoma"/>
            <family val="2"/>
          </rPr>
          <t>lglasson:</t>
        </r>
        <r>
          <rPr>
            <sz val="8"/>
            <color indexed="81"/>
            <rFont val="Tahoma"/>
            <family val="2"/>
          </rPr>
          <t xml:space="preserve">
Represents the amount entered into the wage type per pay period without any proration or any other client specific calculation</t>
        </r>
      </text>
    </comment>
    <comment ref="AB72" authorId="0" shapeId="0" xr:uid="{00000000-0006-0000-1300-000021000000}">
      <text>
        <r>
          <rPr>
            <b/>
            <sz val="8"/>
            <color indexed="81"/>
            <rFont val="Tahoma"/>
            <family val="2"/>
          </rPr>
          <t>lglasson:</t>
        </r>
        <r>
          <rPr>
            <sz val="8"/>
            <color indexed="81"/>
            <rFont val="Tahoma"/>
            <family val="2"/>
          </rPr>
          <t xml:space="preserve">
Up to 5 characters before numeric point</t>
        </r>
      </text>
    </comment>
    <comment ref="AC72" authorId="0" shapeId="0" xr:uid="{00000000-0006-0000-1300-000022000000}">
      <text>
        <r>
          <rPr>
            <b/>
            <sz val="8"/>
            <color indexed="81"/>
            <rFont val="Tahoma"/>
            <family val="2"/>
          </rPr>
          <t>lglasson:</t>
        </r>
        <r>
          <rPr>
            <sz val="8"/>
            <color indexed="81"/>
            <rFont val="Tahoma"/>
            <family val="2"/>
          </rPr>
          <t xml:space="preserve">
Inputs are:
Hours
Days
Weeks
Percent
Units
Months</t>
        </r>
      </text>
    </comment>
    <comment ref="H89" authorId="1" shapeId="0" xr:uid="{00000000-0006-0000-1300-000023000000}">
      <text>
        <r>
          <rPr>
            <b/>
            <sz val="9"/>
            <color indexed="81"/>
            <rFont val="Tahoma"/>
            <family val="2"/>
          </rPr>
          <t>Constant Change for Foreigner EE</t>
        </r>
        <r>
          <rPr>
            <sz val="9"/>
            <color indexed="81"/>
            <rFont val="Tahoma"/>
            <family val="2"/>
          </rPr>
          <t xml:space="preserve">
</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Xia, Summer (ESI)</author>
    <author>lglasson</author>
    <author>Windows User</author>
  </authors>
  <commentList>
    <comment ref="D7" authorId="0" shapeId="0" xr:uid="{00000000-0006-0000-1400-000001000000}">
      <text>
        <r>
          <rPr>
            <b/>
            <sz val="9"/>
            <color indexed="81"/>
            <rFont val="Tahoma"/>
            <family val="2"/>
          </rPr>
          <t>Retro Termination Case</t>
        </r>
        <r>
          <rPr>
            <sz val="9"/>
            <color indexed="81"/>
            <rFont val="Tahoma"/>
            <family val="2"/>
          </rPr>
          <t xml:space="preserve">
</t>
        </r>
      </text>
    </comment>
    <comment ref="J22" authorId="0" shapeId="0" xr:uid="{00000000-0006-0000-1400-000002000000}">
      <text>
        <r>
          <rPr>
            <b/>
            <sz val="9"/>
            <color indexed="81"/>
            <rFont val="Tahoma"/>
            <family val="2"/>
          </rPr>
          <t>Taxation changed from A to D back from Jan</t>
        </r>
      </text>
    </comment>
    <comment ref="T24" authorId="1" shapeId="0" xr:uid="{00000000-0006-0000-1400-000003000000}">
      <text>
        <r>
          <rPr>
            <b/>
            <sz val="8"/>
            <color indexed="81"/>
            <rFont val="Tahoma"/>
            <family val="2"/>
          </rPr>
          <t>lglasson:</t>
        </r>
        <r>
          <rPr>
            <sz val="8"/>
            <color indexed="81"/>
            <rFont val="Tahoma"/>
            <family val="2"/>
          </rPr>
          <t xml:space="preserve">
Compulsory Field.
EE SAP number</t>
        </r>
      </text>
    </comment>
    <comment ref="U24" authorId="1" shapeId="0" xr:uid="{00000000-0006-0000-1400-000004000000}">
      <text>
        <r>
          <rPr>
            <b/>
            <sz val="8"/>
            <color indexed="81"/>
            <rFont val="Tahoma"/>
            <family val="2"/>
          </rPr>
          <t>lglasson:</t>
        </r>
        <r>
          <rPr>
            <sz val="8"/>
            <color indexed="81"/>
            <rFont val="Tahoma"/>
            <family val="2"/>
          </rPr>
          <t xml:space="preserve">
Compulsory Field.
dd.mm.yyyy</t>
        </r>
      </text>
    </comment>
    <comment ref="V24" authorId="1" shapeId="0" xr:uid="{00000000-0006-0000-1400-000005000000}">
      <text>
        <r>
          <rPr>
            <b/>
            <sz val="8"/>
            <color indexed="81"/>
            <rFont val="Tahoma"/>
            <family val="2"/>
          </rPr>
          <t>lglasson:</t>
        </r>
        <r>
          <rPr>
            <sz val="8"/>
            <color indexed="81"/>
            <rFont val="Tahoma"/>
            <family val="2"/>
          </rPr>
          <t xml:space="preserve">
Compulsory Field.
dd.mm.yyyy</t>
        </r>
      </text>
    </comment>
    <comment ref="W24" authorId="1" shapeId="0" xr:uid="{00000000-0006-0000-1400-000006000000}">
      <text>
        <r>
          <rPr>
            <b/>
            <sz val="8"/>
            <color indexed="81"/>
            <rFont val="Tahoma"/>
            <family val="2"/>
          </rPr>
          <t>lglasson:</t>
        </r>
        <r>
          <rPr>
            <sz val="8"/>
            <color indexed="81"/>
            <rFont val="Tahoma"/>
            <family val="2"/>
          </rPr>
          <t xml:space="preserve">
Compulsory Field.
4 characters</t>
        </r>
      </text>
    </comment>
    <comment ref="X24" authorId="1" shapeId="0" xr:uid="{00000000-0006-0000-1400-000007000000}">
      <text>
        <r>
          <rPr>
            <b/>
            <sz val="8"/>
            <color indexed="81"/>
            <rFont val="Tahoma"/>
            <family val="2"/>
          </rPr>
          <t>lglasson:</t>
        </r>
        <r>
          <rPr>
            <sz val="8"/>
            <color indexed="81"/>
            <rFont val="Tahoma"/>
            <family val="2"/>
          </rPr>
          <t xml:space="preserve">
Represents the amount entered into the wage type per pay period without any proration or any other client specific calculation</t>
        </r>
      </text>
    </comment>
    <comment ref="Y24" authorId="1" shapeId="0" xr:uid="{00000000-0006-0000-1400-000008000000}">
      <text>
        <r>
          <rPr>
            <b/>
            <sz val="8"/>
            <color indexed="81"/>
            <rFont val="Tahoma"/>
            <family val="2"/>
          </rPr>
          <t>lglasson:</t>
        </r>
        <r>
          <rPr>
            <sz val="8"/>
            <color indexed="81"/>
            <rFont val="Tahoma"/>
            <family val="2"/>
          </rPr>
          <t xml:space="preserve">
Up to 5 characters before numeric point</t>
        </r>
      </text>
    </comment>
    <comment ref="Z24" authorId="1" shapeId="0" xr:uid="{00000000-0006-0000-1400-000009000000}">
      <text>
        <r>
          <rPr>
            <b/>
            <sz val="8"/>
            <color indexed="81"/>
            <rFont val="Tahoma"/>
            <family val="2"/>
          </rPr>
          <t>lglasson:</t>
        </r>
        <r>
          <rPr>
            <sz val="8"/>
            <color indexed="81"/>
            <rFont val="Tahoma"/>
            <family val="2"/>
          </rPr>
          <t xml:space="preserve">
Inputs are:
Hours
Days
Weeks
Percent
Units
Months</t>
        </r>
      </text>
    </comment>
    <comment ref="A27" authorId="1" shapeId="0" xr:uid="{00000000-0006-0000-1400-00000A000000}">
      <text>
        <r>
          <rPr>
            <b/>
            <sz val="8"/>
            <color indexed="81"/>
            <rFont val="Tahoma"/>
            <family val="2"/>
          </rPr>
          <t>lglasson:</t>
        </r>
        <r>
          <rPr>
            <sz val="8"/>
            <color indexed="81"/>
            <rFont val="Tahoma"/>
            <family val="2"/>
          </rPr>
          <t xml:space="preserve">
As per blueprint</t>
        </r>
      </text>
    </comment>
    <comment ref="A44" authorId="1" shapeId="0" xr:uid="{00000000-0006-0000-1400-00000B000000}">
      <text>
        <r>
          <rPr>
            <b/>
            <sz val="8"/>
            <color indexed="81"/>
            <rFont val="Tahoma"/>
            <family val="2"/>
          </rPr>
          <t>lglasson:</t>
        </r>
        <r>
          <rPr>
            <sz val="8"/>
            <color indexed="81"/>
            <rFont val="Tahoma"/>
            <family val="2"/>
          </rPr>
          <t xml:space="preserve">
As per blueprint</t>
        </r>
      </text>
    </comment>
    <comment ref="A45" authorId="2" shapeId="0" xr:uid="{00000000-0006-0000-1400-00000C000000}">
      <text>
        <r>
          <rPr>
            <b/>
            <sz val="9"/>
            <color indexed="81"/>
            <rFont val="Tahoma"/>
            <family val="2"/>
          </rPr>
          <t>Windows User:</t>
        </r>
        <r>
          <rPr>
            <sz val="9"/>
            <color indexed="81"/>
            <rFont val="Tahoma"/>
            <family val="2"/>
          </rPr>
          <t xml:space="preserve">
capping amount = 23,000,000</t>
        </r>
      </text>
    </comment>
    <comment ref="T45" authorId="1" shapeId="0" xr:uid="{00000000-0006-0000-1400-00000D000000}">
      <text>
        <r>
          <rPr>
            <b/>
            <sz val="8"/>
            <color indexed="81"/>
            <rFont val="Tahoma"/>
            <family val="2"/>
          </rPr>
          <t>lglasson:</t>
        </r>
        <r>
          <rPr>
            <sz val="8"/>
            <color indexed="81"/>
            <rFont val="Tahoma"/>
            <family val="2"/>
          </rPr>
          <t xml:space="preserve">
Compulsory Field.
EE SAP number</t>
        </r>
      </text>
    </comment>
    <comment ref="U45" authorId="1" shapeId="0" xr:uid="{00000000-0006-0000-1400-00000E000000}">
      <text>
        <r>
          <rPr>
            <b/>
            <sz val="8"/>
            <color indexed="81"/>
            <rFont val="Tahoma"/>
            <family val="2"/>
          </rPr>
          <t>lglasson:</t>
        </r>
        <r>
          <rPr>
            <sz val="8"/>
            <color indexed="81"/>
            <rFont val="Tahoma"/>
            <family val="2"/>
          </rPr>
          <t xml:space="preserve">
Compulsory Field.
dd.mm.yyyy</t>
        </r>
      </text>
    </comment>
    <comment ref="V45" authorId="1" shapeId="0" xr:uid="{00000000-0006-0000-1400-00000F000000}">
      <text>
        <r>
          <rPr>
            <b/>
            <sz val="8"/>
            <color indexed="81"/>
            <rFont val="Tahoma"/>
            <family val="2"/>
          </rPr>
          <t>lglasson:</t>
        </r>
        <r>
          <rPr>
            <sz val="8"/>
            <color indexed="81"/>
            <rFont val="Tahoma"/>
            <family val="2"/>
          </rPr>
          <t xml:space="preserve">
Compulsory Field.
dd.mm.yyyy</t>
        </r>
      </text>
    </comment>
    <comment ref="W45" authorId="1" shapeId="0" xr:uid="{00000000-0006-0000-1400-000010000000}">
      <text>
        <r>
          <rPr>
            <b/>
            <sz val="8"/>
            <color indexed="81"/>
            <rFont val="Tahoma"/>
            <family val="2"/>
          </rPr>
          <t>lglasson:</t>
        </r>
        <r>
          <rPr>
            <sz val="8"/>
            <color indexed="81"/>
            <rFont val="Tahoma"/>
            <family val="2"/>
          </rPr>
          <t xml:space="preserve">
Compulsory Field.
4 characters</t>
        </r>
      </text>
    </comment>
    <comment ref="X45" authorId="1" shapeId="0" xr:uid="{00000000-0006-0000-1400-000011000000}">
      <text>
        <r>
          <rPr>
            <b/>
            <sz val="8"/>
            <color indexed="81"/>
            <rFont val="Tahoma"/>
            <family val="2"/>
          </rPr>
          <t>lglasson:</t>
        </r>
        <r>
          <rPr>
            <sz val="8"/>
            <color indexed="81"/>
            <rFont val="Tahoma"/>
            <family val="2"/>
          </rPr>
          <t xml:space="preserve">
Represents the amount entered into the wage type per pay period without any proration or any other client specific calculation</t>
        </r>
      </text>
    </comment>
    <comment ref="Y45" authorId="1" shapeId="0" xr:uid="{00000000-0006-0000-1400-000012000000}">
      <text>
        <r>
          <rPr>
            <b/>
            <sz val="8"/>
            <color indexed="81"/>
            <rFont val="Tahoma"/>
            <family val="2"/>
          </rPr>
          <t>lglasson:</t>
        </r>
        <r>
          <rPr>
            <sz val="8"/>
            <color indexed="81"/>
            <rFont val="Tahoma"/>
            <family val="2"/>
          </rPr>
          <t xml:space="preserve">
Up to 5 characters before numeric point</t>
        </r>
      </text>
    </comment>
    <comment ref="Z45" authorId="1" shapeId="0" xr:uid="{00000000-0006-0000-1400-000013000000}">
      <text>
        <r>
          <rPr>
            <b/>
            <sz val="8"/>
            <color indexed="81"/>
            <rFont val="Tahoma"/>
            <family val="2"/>
          </rPr>
          <t>lglasson:</t>
        </r>
        <r>
          <rPr>
            <sz val="8"/>
            <color indexed="81"/>
            <rFont val="Tahoma"/>
            <family val="2"/>
          </rPr>
          <t xml:space="preserve">
Inputs are:
Hours
Days
Weeks
Percent
Units
Months</t>
        </r>
      </text>
    </comment>
    <comment ref="A59" authorId="2" shapeId="0" xr:uid="{00000000-0006-0000-1400-000014000000}">
      <text>
        <r>
          <rPr>
            <b/>
            <sz val="9"/>
            <color indexed="81"/>
            <rFont val="Tahoma"/>
            <family val="2"/>
          </rPr>
          <t>Windows User:</t>
        </r>
        <r>
          <rPr>
            <sz val="9"/>
            <color indexed="81"/>
            <rFont val="Tahoma"/>
            <family val="2"/>
          </rPr>
          <t xml:space="preserve">
capping amount = 23,000,000
</t>
        </r>
      </text>
    </comment>
    <comment ref="K77" authorId="0" shapeId="0" xr:uid="{00000000-0006-0000-1400-000015000000}">
      <text>
        <r>
          <rPr>
            <b/>
            <sz val="9"/>
            <color indexed="81"/>
            <rFont val="Tahoma"/>
            <family val="2"/>
          </rPr>
          <t>Annual OT capped at 200 hours</t>
        </r>
        <r>
          <rPr>
            <sz val="9"/>
            <color indexed="81"/>
            <rFont val="Tahoma"/>
            <family val="2"/>
          </rPr>
          <t xml:space="preserve">
</t>
        </r>
      </text>
    </comment>
    <comment ref="K78" authorId="0" shapeId="0" xr:uid="{00000000-0006-0000-1400-000016000000}">
      <text>
        <r>
          <rPr>
            <b/>
            <sz val="9"/>
            <color indexed="81"/>
            <rFont val="Tahoma"/>
            <family val="2"/>
          </rPr>
          <t>Annual OT capped at 200 hours</t>
        </r>
        <r>
          <rPr>
            <sz val="9"/>
            <color indexed="81"/>
            <rFont val="Tahoma"/>
            <family val="2"/>
          </rPr>
          <t xml:space="preserve">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Xia, Summer (ESI)</author>
    <author>lglasson</author>
    <author>Windows User</author>
  </authors>
  <commentList>
    <comment ref="B7" authorId="0" shapeId="0" xr:uid="{00000000-0006-0000-1500-000001000000}">
      <text>
        <r>
          <rPr>
            <b/>
            <sz val="9"/>
            <color indexed="81"/>
            <rFont val="Tahoma"/>
            <family val="2"/>
          </rPr>
          <t>Retro Salary Increase for WT3113 testing</t>
        </r>
        <r>
          <rPr>
            <sz val="9"/>
            <color indexed="81"/>
            <rFont val="Tahoma"/>
            <family val="2"/>
          </rPr>
          <t xml:space="preserve">
</t>
        </r>
      </text>
    </comment>
    <comment ref="G7" authorId="0" shapeId="0" xr:uid="{00000000-0006-0000-1500-000002000000}">
      <text>
        <r>
          <rPr>
            <b/>
            <sz val="9"/>
            <color indexed="81"/>
            <rFont val="Tahoma"/>
            <family val="2"/>
          </rPr>
          <t>Terminated in Jan for testing of current year WT3113 accumulation payout</t>
        </r>
        <r>
          <rPr>
            <sz val="9"/>
            <color indexed="81"/>
            <rFont val="Tahoma"/>
            <family val="2"/>
          </rPr>
          <t xml:space="preserve">
</t>
        </r>
      </text>
    </comment>
    <comment ref="A25" authorId="1" shapeId="0" xr:uid="{00000000-0006-0000-1500-000003000000}">
      <text>
        <r>
          <rPr>
            <b/>
            <sz val="8"/>
            <color indexed="81"/>
            <rFont val="Tahoma"/>
            <family val="2"/>
          </rPr>
          <t>lglasson:</t>
        </r>
        <r>
          <rPr>
            <sz val="8"/>
            <color indexed="81"/>
            <rFont val="Tahoma"/>
            <family val="2"/>
          </rPr>
          <t xml:space="preserve">
As per blueprint</t>
        </r>
      </text>
    </comment>
    <comment ref="S25" authorId="1" shapeId="0" xr:uid="{00000000-0006-0000-1500-000004000000}">
      <text>
        <r>
          <rPr>
            <b/>
            <sz val="8"/>
            <color indexed="81"/>
            <rFont val="Tahoma"/>
            <family val="2"/>
          </rPr>
          <t>lglasson:</t>
        </r>
        <r>
          <rPr>
            <sz val="8"/>
            <color indexed="81"/>
            <rFont val="Tahoma"/>
            <family val="2"/>
          </rPr>
          <t xml:space="preserve">
Compulsory Field.
EE SAP number</t>
        </r>
      </text>
    </comment>
    <comment ref="T25" authorId="1" shapeId="0" xr:uid="{00000000-0006-0000-1500-000005000000}">
      <text>
        <r>
          <rPr>
            <b/>
            <sz val="8"/>
            <color indexed="81"/>
            <rFont val="Tahoma"/>
            <family val="2"/>
          </rPr>
          <t>lglasson:</t>
        </r>
        <r>
          <rPr>
            <sz val="8"/>
            <color indexed="81"/>
            <rFont val="Tahoma"/>
            <family val="2"/>
          </rPr>
          <t xml:space="preserve">
Compulsory Field.
dd.mm.yyyy</t>
        </r>
      </text>
    </comment>
    <comment ref="U25" authorId="1" shapeId="0" xr:uid="{00000000-0006-0000-1500-000006000000}">
      <text>
        <r>
          <rPr>
            <b/>
            <sz val="8"/>
            <color indexed="81"/>
            <rFont val="Tahoma"/>
            <family val="2"/>
          </rPr>
          <t>lglasson:</t>
        </r>
        <r>
          <rPr>
            <sz val="8"/>
            <color indexed="81"/>
            <rFont val="Tahoma"/>
            <family val="2"/>
          </rPr>
          <t xml:space="preserve">
Compulsory Field.
dd.mm.yyyy</t>
        </r>
      </text>
    </comment>
    <comment ref="V25" authorId="1" shapeId="0" xr:uid="{00000000-0006-0000-1500-000007000000}">
      <text>
        <r>
          <rPr>
            <b/>
            <sz val="8"/>
            <color indexed="81"/>
            <rFont val="Tahoma"/>
            <family val="2"/>
          </rPr>
          <t>lglasson:</t>
        </r>
        <r>
          <rPr>
            <sz val="8"/>
            <color indexed="81"/>
            <rFont val="Tahoma"/>
            <family val="2"/>
          </rPr>
          <t xml:space="preserve">
Compulsory Field.
4 characters</t>
        </r>
      </text>
    </comment>
    <comment ref="W25" authorId="1" shapeId="0" xr:uid="{00000000-0006-0000-1500-000008000000}">
      <text>
        <r>
          <rPr>
            <b/>
            <sz val="8"/>
            <color indexed="81"/>
            <rFont val="Tahoma"/>
            <family val="2"/>
          </rPr>
          <t>lglasson:</t>
        </r>
        <r>
          <rPr>
            <sz val="8"/>
            <color indexed="81"/>
            <rFont val="Tahoma"/>
            <family val="2"/>
          </rPr>
          <t xml:space="preserve">
Represents the amount entered into the wage type per pay period without any proration or any other client specific calculation</t>
        </r>
      </text>
    </comment>
    <comment ref="X25" authorId="1" shapeId="0" xr:uid="{00000000-0006-0000-1500-000009000000}">
      <text>
        <r>
          <rPr>
            <b/>
            <sz val="8"/>
            <color indexed="81"/>
            <rFont val="Tahoma"/>
            <family val="2"/>
          </rPr>
          <t>lglasson:</t>
        </r>
        <r>
          <rPr>
            <sz val="8"/>
            <color indexed="81"/>
            <rFont val="Tahoma"/>
            <family val="2"/>
          </rPr>
          <t xml:space="preserve">
Up to 5 characters before numeric point</t>
        </r>
      </text>
    </comment>
    <comment ref="Y25" authorId="1" shapeId="0" xr:uid="{00000000-0006-0000-1500-00000A000000}">
      <text>
        <r>
          <rPr>
            <b/>
            <sz val="8"/>
            <color indexed="81"/>
            <rFont val="Tahoma"/>
            <family val="2"/>
          </rPr>
          <t>lglasson:</t>
        </r>
        <r>
          <rPr>
            <sz val="8"/>
            <color indexed="81"/>
            <rFont val="Tahoma"/>
            <family val="2"/>
          </rPr>
          <t xml:space="preserve">
Inputs are:
Hours
Days
Weeks
Percent
Units
Months</t>
        </r>
      </text>
    </comment>
    <comment ref="B33" authorId="0" shapeId="0" xr:uid="{00000000-0006-0000-1500-00000B000000}">
      <text>
        <r>
          <rPr>
            <b/>
            <sz val="9"/>
            <color indexed="81"/>
            <rFont val="Tahoma"/>
            <family val="2"/>
          </rPr>
          <t>Retro calculated WT9113 is added</t>
        </r>
        <r>
          <rPr>
            <sz val="9"/>
            <color indexed="81"/>
            <rFont val="Tahoma"/>
            <family val="2"/>
          </rPr>
          <t xml:space="preserve">
</t>
        </r>
      </text>
    </comment>
    <comment ref="A42" authorId="1" shapeId="0" xr:uid="{00000000-0006-0000-1500-00000C000000}">
      <text>
        <r>
          <rPr>
            <b/>
            <sz val="8"/>
            <color indexed="81"/>
            <rFont val="Tahoma"/>
            <family val="2"/>
          </rPr>
          <t>lglasson:</t>
        </r>
        <r>
          <rPr>
            <sz val="8"/>
            <color indexed="81"/>
            <rFont val="Tahoma"/>
            <family val="2"/>
          </rPr>
          <t xml:space="preserve">
As per blueprint</t>
        </r>
      </text>
    </comment>
    <comment ref="A43" authorId="2" shapeId="0" xr:uid="{00000000-0006-0000-1500-00000D000000}">
      <text>
        <r>
          <rPr>
            <b/>
            <sz val="9"/>
            <color indexed="81"/>
            <rFont val="Tahoma"/>
            <family val="2"/>
          </rPr>
          <t>Windows User:</t>
        </r>
        <r>
          <rPr>
            <sz val="9"/>
            <color indexed="81"/>
            <rFont val="Tahoma"/>
            <family val="2"/>
          </rPr>
          <t xml:space="preserve">
capping amount = 23,000,000</t>
        </r>
      </text>
    </comment>
    <comment ref="G44" authorId="0" shapeId="0" xr:uid="{00000000-0006-0000-1500-00000E000000}">
      <text>
        <r>
          <rPr>
            <b/>
            <sz val="9"/>
            <color indexed="81"/>
            <rFont val="Tahoma"/>
            <family val="2"/>
          </rPr>
          <t>New cap for UI is used</t>
        </r>
        <r>
          <rPr>
            <sz val="9"/>
            <color indexed="81"/>
            <rFont val="Tahoma"/>
            <family val="2"/>
          </rPr>
          <t xml:space="preserve">
</t>
        </r>
      </text>
    </comment>
    <comment ref="S49" authorId="1" shapeId="0" xr:uid="{00000000-0006-0000-1500-00000F000000}">
      <text>
        <r>
          <rPr>
            <b/>
            <sz val="8"/>
            <color indexed="81"/>
            <rFont val="Tahoma"/>
            <family val="2"/>
          </rPr>
          <t>lglasson:</t>
        </r>
        <r>
          <rPr>
            <sz val="8"/>
            <color indexed="81"/>
            <rFont val="Tahoma"/>
            <family val="2"/>
          </rPr>
          <t xml:space="preserve">
Compulsory Field.
EE SAP number</t>
        </r>
      </text>
    </comment>
    <comment ref="T49" authorId="1" shapeId="0" xr:uid="{00000000-0006-0000-1500-000010000000}">
      <text>
        <r>
          <rPr>
            <b/>
            <sz val="8"/>
            <color indexed="81"/>
            <rFont val="Tahoma"/>
            <family val="2"/>
          </rPr>
          <t>lglasson:</t>
        </r>
        <r>
          <rPr>
            <sz val="8"/>
            <color indexed="81"/>
            <rFont val="Tahoma"/>
            <family val="2"/>
          </rPr>
          <t xml:space="preserve">
Compulsory Field.
dd.mm.yyyy</t>
        </r>
      </text>
    </comment>
    <comment ref="U49" authorId="1" shapeId="0" xr:uid="{00000000-0006-0000-1500-000011000000}">
      <text>
        <r>
          <rPr>
            <b/>
            <sz val="8"/>
            <color indexed="81"/>
            <rFont val="Tahoma"/>
            <family val="2"/>
          </rPr>
          <t>lglasson:</t>
        </r>
        <r>
          <rPr>
            <sz val="8"/>
            <color indexed="81"/>
            <rFont val="Tahoma"/>
            <family val="2"/>
          </rPr>
          <t xml:space="preserve">
Compulsory Field.
dd.mm.yyyy</t>
        </r>
      </text>
    </comment>
    <comment ref="V49" authorId="1" shapeId="0" xr:uid="{00000000-0006-0000-1500-000012000000}">
      <text>
        <r>
          <rPr>
            <b/>
            <sz val="8"/>
            <color indexed="81"/>
            <rFont val="Tahoma"/>
            <family val="2"/>
          </rPr>
          <t>lglasson:</t>
        </r>
        <r>
          <rPr>
            <sz val="8"/>
            <color indexed="81"/>
            <rFont val="Tahoma"/>
            <family val="2"/>
          </rPr>
          <t xml:space="preserve">
Compulsory Field.
4 characters</t>
        </r>
      </text>
    </comment>
    <comment ref="W49" authorId="1" shapeId="0" xr:uid="{00000000-0006-0000-1500-000013000000}">
      <text>
        <r>
          <rPr>
            <b/>
            <sz val="8"/>
            <color indexed="81"/>
            <rFont val="Tahoma"/>
            <family val="2"/>
          </rPr>
          <t>lglasson:</t>
        </r>
        <r>
          <rPr>
            <sz val="8"/>
            <color indexed="81"/>
            <rFont val="Tahoma"/>
            <family val="2"/>
          </rPr>
          <t xml:space="preserve">
Represents the amount entered into the wage type per pay period without any proration or any other client specific calculation</t>
        </r>
      </text>
    </comment>
    <comment ref="X49" authorId="1" shapeId="0" xr:uid="{00000000-0006-0000-1500-000014000000}">
      <text>
        <r>
          <rPr>
            <b/>
            <sz val="8"/>
            <color indexed="81"/>
            <rFont val="Tahoma"/>
            <family val="2"/>
          </rPr>
          <t>lglasson:</t>
        </r>
        <r>
          <rPr>
            <sz val="8"/>
            <color indexed="81"/>
            <rFont val="Tahoma"/>
            <family val="2"/>
          </rPr>
          <t xml:space="preserve">
Up to 5 characters before numeric point</t>
        </r>
      </text>
    </comment>
    <comment ref="Y49" authorId="1" shapeId="0" xr:uid="{00000000-0006-0000-1500-000015000000}">
      <text>
        <r>
          <rPr>
            <b/>
            <sz val="8"/>
            <color indexed="81"/>
            <rFont val="Tahoma"/>
            <family val="2"/>
          </rPr>
          <t>lglasson:</t>
        </r>
        <r>
          <rPr>
            <sz val="8"/>
            <color indexed="81"/>
            <rFont val="Tahoma"/>
            <family val="2"/>
          </rPr>
          <t xml:space="preserve">
Inputs are:
Hours
Days
Weeks
Percent
Units
Months</t>
        </r>
      </text>
    </comment>
    <comment ref="A56" authorId="2" shapeId="0" xr:uid="{00000000-0006-0000-1500-000016000000}">
      <text>
        <r>
          <rPr>
            <b/>
            <sz val="9"/>
            <color indexed="81"/>
            <rFont val="Tahoma"/>
            <family val="2"/>
          </rPr>
          <t>Windows User:</t>
        </r>
        <r>
          <rPr>
            <sz val="9"/>
            <color indexed="81"/>
            <rFont val="Tahoma"/>
            <family val="2"/>
          </rPr>
          <t xml:space="preserve">
capping amount = 23,000,000
</t>
        </r>
      </text>
    </comment>
    <comment ref="G62" authorId="0" shapeId="0" xr:uid="{00000000-0006-0000-1500-000017000000}">
      <text>
        <r>
          <rPr>
            <b/>
            <sz val="9"/>
            <color indexed="81"/>
            <rFont val="Tahoma"/>
            <family val="2"/>
          </rPr>
          <t>WT9113 is nullified due to payout of WT3113 in current year</t>
        </r>
        <r>
          <rPr>
            <sz val="9"/>
            <color indexed="81"/>
            <rFont val="Tahoma"/>
            <family val="2"/>
          </rPr>
          <t xml:space="preserve">
</t>
        </r>
      </text>
    </comment>
    <comment ref="D111" authorId="0" shapeId="0" xr:uid="{00000000-0006-0000-1500-000018000000}">
      <text>
        <r>
          <rPr>
            <b/>
            <sz val="9"/>
            <color indexed="81"/>
            <rFont val="Tahoma"/>
            <family val="2"/>
          </rPr>
          <t>Overused AL quota balance will be deducted from new entitlement</t>
        </r>
        <r>
          <rPr>
            <sz val="9"/>
            <color indexed="81"/>
            <rFont val="Tahoma"/>
            <family val="2"/>
          </rPr>
          <t xml:space="preserve">
</t>
        </r>
      </text>
    </comment>
    <comment ref="D150" authorId="0" shapeId="0" xr:uid="{00000000-0006-0000-1500-000019000000}">
      <text>
        <r>
          <rPr>
            <b/>
            <sz val="9"/>
            <color indexed="81"/>
            <rFont val="Tahoma"/>
            <family val="2"/>
          </rPr>
          <t>In rehire case, system will use actual worked months for annual average taxable income calculation</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lglasson</author>
    <author>Windows User</author>
  </authors>
  <commentList>
    <comment ref="W22" authorId="0" shapeId="0" xr:uid="{D913AF25-A86C-45AE-AB36-E9DBE9391153}">
      <text>
        <r>
          <rPr>
            <b/>
            <sz val="8"/>
            <color indexed="81"/>
            <rFont val="Tahoma"/>
            <family val="2"/>
          </rPr>
          <t>lglasson:</t>
        </r>
        <r>
          <rPr>
            <sz val="8"/>
            <color indexed="81"/>
            <rFont val="Tahoma"/>
            <family val="2"/>
          </rPr>
          <t xml:space="preserve">
Compulsory Field.
EE SAP number</t>
        </r>
      </text>
    </comment>
    <comment ref="X22" authorId="0" shapeId="0" xr:uid="{5DA1C67B-7031-41BF-B69A-EB07184D53F4}">
      <text>
        <r>
          <rPr>
            <b/>
            <sz val="8"/>
            <color indexed="81"/>
            <rFont val="Tahoma"/>
            <family val="2"/>
          </rPr>
          <t>lglasson:</t>
        </r>
        <r>
          <rPr>
            <sz val="8"/>
            <color indexed="81"/>
            <rFont val="Tahoma"/>
            <family val="2"/>
          </rPr>
          <t xml:space="preserve">
Compulsory Field.
dd.mm.yyyy</t>
        </r>
      </text>
    </comment>
    <comment ref="Y22" authorId="0" shapeId="0" xr:uid="{52279A3C-087A-41A3-90E8-CF98A8B3E29C}">
      <text>
        <r>
          <rPr>
            <b/>
            <sz val="8"/>
            <color indexed="81"/>
            <rFont val="Tahoma"/>
            <family val="2"/>
          </rPr>
          <t>lglasson:</t>
        </r>
        <r>
          <rPr>
            <sz val="8"/>
            <color indexed="81"/>
            <rFont val="Tahoma"/>
            <family val="2"/>
          </rPr>
          <t xml:space="preserve">
Compulsory Field.
dd.mm.yyyy</t>
        </r>
      </text>
    </comment>
    <comment ref="Z22" authorId="0" shapeId="0" xr:uid="{3AA7FD4B-458A-48E5-8CBF-B6BAF5485737}">
      <text>
        <r>
          <rPr>
            <b/>
            <sz val="8"/>
            <color indexed="81"/>
            <rFont val="Tahoma"/>
            <family val="2"/>
          </rPr>
          <t>lglasson:</t>
        </r>
        <r>
          <rPr>
            <sz val="8"/>
            <color indexed="81"/>
            <rFont val="Tahoma"/>
            <family val="2"/>
          </rPr>
          <t xml:space="preserve">
Compulsory Field.
4 characters</t>
        </r>
      </text>
    </comment>
    <comment ref="AA22" authorId="0" shapeId="0" xr:uid="{D3B641D6-3B6F-4A0C-BE6B-64365668F8A3}">
      <text>
        <r>
          <rPr>
            <b/>
            <sz val="8"/>
            <color indexed="81"/>
            <rFont val="Tahoma"/>
            <family val="2"/>
          </rPr>
          <t>lglasson:</t>
        </r>
        <r>
          <rPr>
            <sz val="8"/>
            <color indexed="81"/>
            <rFont val="Tahoma"/>
            <family val="2"/>
          </rPr>
          <t xml:space="preserve">
Represents the amount entered into the wage type per pay period without any proration or any other client specific calculation</t>
        </r>
      </text>
    </comment>
    <comment ref="AB22" authorId="0" shapeId="0" xr:uid="{84EC7EF4-5B58-4F46-983E-6BEBACF10655}">
      <text>
        <r>
          <rPr>
            <b/>
            <sz val="8"/>
            <color indexed="81"/>
            <rFont val="Tahoma"/>
            <family val="2"/>
          </rPr>
          <t>lglasson:</t>
        </r>
        <r>
          <rPr>
            <sz val="8"/>
            <color indexed="81"/>
            <rFont val="Tahoma"/>
            <family val="2"/>
          </rPr>
          <t xml:space="preserve">
Up to 5 characters before numeric point</t>
        </r>
      </text>
    </comment>
    <comment ref="AC22" authorId="0" shapeId="0" xr:uid="{A693CD77-5F11-4401-8DB1-1C6623FB2BAE}">
      <text>
        <r>
          <rPr>
            <b/>
            <sz val="8"/>
            <color indexed="81"/>
            <rFont val="Tahoma"/>
            <family val="2"/>
          </rPr>
          <t>lglasson:</t>
        </r>
        <r>
          <rPr>
            <sz val="8"/>
            <color indexed="81"/>
            <rFont val="Tahoma"/>
            <family val="2"/>
          </rPr>
          <t xml:space="preserve">
Inputs are:
Hours
Days
Weeks
Percent
Units
Months</t>
        </r>
      </text>
    </comment>
    <comment ref="A23" authorId="0" shapeId="0" xr:uid="{9FBCB393-41FB-4892-A80C-5530700FF0CD}">
      <text>
        <r>
          <rPr>
            <b/>
            <sz val="8"/>
            <color indexed="81"/>
            <rFont val="Tahoma"/>
            <family val="2"/>
          </rPr>
          <t>lglasson:</t>
        </r>
        <r>
          <rPr>
            <sz val="8"/>
            <color indexed="81"/>
            <rFont val="Tahoma"/>
            <family val="2"/>
          </rPr>
          <t xml:space="preserve">
As per blueprint</t>
        </r>
      </text>
    </comment>
    <comment ref="A42" authorId="0" shapeId="0" xr:uid="{BF952982-CA98-4665-9F86-783855714BE7}">
      <text>
        <r>
          <rPr>
            <b/>
            <sz val="8"/>
            <color indexed="81"/>
            <rFont val="Tahoma"/>
            <family val="2"/>
          </rPr>
          <t>lglasson:</t>
        </r>
        <r>
          <rPr>
            <sz val="8"/>
            <color indexed="81"/>
            <rFont val="Tahoma"/>
            <family val="2"/>
          </rPr>
          <t xml:space="preserve">
As per blueprint</t>
        </r>
      </text>
    </comment>
    <comment ref="A43" authorId="1" shapeId="0" xr:uid="{EE00C2EF-C58F-4E39-817B-58577531E46E}">
      <text>
        <r>
          <rPr>
            <b/>
            <sz val="9"/>
            <color indexed="81"/>
            <rFont val="Tahoma"/>
            <family val="2"/>
          </rPr>
          <t>Windows User:</t>
        </r>
        <r>
          <rPr>
            <sz val="9"/>
            <color indexed="81"/>
            <rFont val="Tahoma"/>
            <family val="2"/>
          </rPr>
          <t xml:space="preserve">
capping amount = 23,000,000</t>
        </r>
      </text>
    </comment>
    <comment ref="A58" authorId="1" shapeId="0" xr:uid="{0DF56F6F-6C0C-4C7E-A44A-46561FC8A14B}">
      <text>
        <r>
          <rPr>
            <b/>
            <sz val="9"/>
            <color indexed="81"/>
            <rFont val="Tahoma"/>
            <family val="2"/>
          </rPr>
          <t>Windows User:</t>
        </r>
        <r>
          <rPr>
            <sz val="9"/>
            <color indexed="81"/>
            <rFont val="Tahoma"/>
            <family val="2"/>
          </rPr>
          <t xml:space="preserve">
capping amount = 23,000,000
</t>
        </r>
      </text>
    </comment>
    <comment ref="W65" authorId="0" shapeId="0" xr:uid="{B97BE295-E259-43FC-8E25-B84994813BC8}">
      <text>
        <r>
          <rPr>
            <b/>
            <sz val="8"/>
            <color indexed="81"/>
            <rFont val="Tahoma"/>
            <family val="2"/>
          </rPr>
          <t>lglasson:</t>
        </r>
        <r>
          <rPr>
            <sz val="8"/>
            <color indexed="81"/>
            <rFont val="Tahoma"/>
            <family val="2"/>
          </rPr>
          <t xml:space="preserve">
Compulsory Field.
EE SAP number</t>
        </r>
      </text>
    </comment>
    <comment ref="X65" authorId="0" shapeId="0" xr:uid="{909F4ABF-9AD6-4E74-A8C6-2AEC4E8D9E61}">
      <text>
        <r>
          <rPr>
            <b/>
            <sz val="8"/>
            <color indexed="81"/>
            <rFont val="Tahoma"/>
            <family val="2"/>
          </rPr>
          <t>lglasson:</t>
        </r>
        <r>
          <rPr>
            <sz val="8"/>
            <color indexed="81"/>
            <rFont val="Tahoma"/>
            <family val="2"/>
          </rPr>
          <t xml:space="preserve">
Compulsory Field.
dd.mm.yyyy</t>
        </r>
      </text>
    </comment>
    <comment ref="Y65" authorId="0" shapeId="0" xr:uid="{9FD99BED-C0CC-4E16-B332-3C7A29573696}">
      <text>
        <r>
          <rPr>
            <b/>
            <sz val="8"/>
            <color indexed="81"/>
            <rFont val="Tahoma"/>
            <family val="2"/>
          </rPr>
          <t>lglasson:</t>
        </r>
        <r>
          <rPr>
            <sz val="8"/>
            <color indexed="81"/>
            <rFont val="Tahoma"/>
            <family val="2"/>
          </rPr>
          <t xml:space="preserve">
Compulsory Field.
dd.mm.yyyy</t>
        </r>
      </text>
    </comment>
    <comment ref="Z65" authorId="0" shapeId="0" xr:uid="{F761785C-C543-4482-9C42-A71B0AB715B5}">
      <text>
        <r>
          <rPr>
            <b/>
            <sz val="8"/>
            <color indexed="81"/>
            <rFont val="Tahoma"/>
            <family val="2"/>
          </rPr>
          <t>lglasson:</t>
        </r>
        <r>
          <rPr>
            <sz val="8"/>
            <color indexed="81"/>
            <rFont val="Tahoma"/>
            <family val="2"/>
          </rPr>
          <t xml:space="preserve">
Compulsory Field.
4 characters</t>
        </r>
      </text>
    </comment>
    <comment ref="AA65" authorId="0" shapeId="0" xr:uid="{F3EE558A-A90D-4A03-A772-ADC8F61371A1}">
      <text>
        <r>
          <rPr>
            <b/>
            <sz val="8"/>
            <color indexed="81"/>
            <rFont val="Tahoma"/>
            <family val="2"/>
          </rPr>
          <t>lglasson:</t>
        </r>
        <r>
          <rPr>
            <sz val="8"/>
            <color indexed="81"/>
            <rFont val="Tahoma"/>
            <family val="2"/>
          </rPr>
          <t xml:space="preserve">
Represents the amount entered into the wage type per pay period without any proration or any other client specific calculation</t>
        </r>
      </text>
    </comment>
    <comment ref="AB65" authorId="0" shapeId="0" xr:uid="{AA165D5F-E633-4C66-BD61-E1459A244351}">
      <text>
        <r>
          <rPr>
            <b/>
            <sz val="8"/>
            <color indexed="81"/>
            <rFont val="Tahoma"/>
            <family val="2"/>
          </rPr>
          <t>lglasson:</t>
        </r>
        <r>
          <rPr>
            <sz val="8"/>
            <color indexed="81"/>
            <rFont val="Tahoma"/>
            <family val="2"/>
          </rPr>
          <t xml:space="preserve">
Up to 5 characters before numeric point</t>
        </r>
      </text>
    </comment>
    <comment ref="AC65" authorId="0" shapeId="0" xr:uid="{25A2B8C1-5FE0-43FA-9574-156DBC6F8BAB}">
      <text>
        <r>
          <rPr>
            <b/>
            <sz val="8"/>
            <color indexed="81"/>
            <rFont val="Tahoma"/>
            <family val="2"/>
          </rPr>
          <t>lglasson:</t>
        </r>
        <r>
          <rPr>
            <sz val="8"/>
            <color indexed="81"/>
            <rFont val="Tahoma"/>
            <family val="2"/>
          </rPr>
          <t xml:space="preserve">
Inputs are:
Hours
Days
Weeks
Percent
Units
Months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F6" authorId="0" shapeId="0" xr:uid="{00000000-0006-0000-0200-000001000000}">
      <text>
        <r>
          <rPr>
            <b/>
            <sz val="9"/>
            <color indexed="81"/>
            <rFont val="Tahoma"/>
            <family val="2"/>
          </rPr>
          <t>See Drop Down:</t>
        </r>
        <r>
          <rPr>
            <sz val="9"/>
            <color indexed="81"/>
            <rFont val="Tahoma"/>
            <family val="2"/>
          </rPr>
          <t xml:space="preserve">
Config
Clarification
New Request CR
Master Data
Other</t>
        </r>
      </text>
    </comment>
    <comment ref="G6" authorId="0" shapeId="0" xr:uid="{00000000-0006-0000-0200-000002000000}">
      <text>
        <r>
          <rPr>
            <b/>
            <sz val="9"/>
            <color indexed="81"/>
            <rFont val="Tahoma"/>
            <family val="2"/>
          </rPr>
          <t>See Drop Down:</t>
        </r>
        <r>
          <rPr>
            <sz val="9"/>
            <color indexed="81"/>
            <rFont val="Tahoma"/>
            <family val="2"/>
          </rPr>
          <t xml:space="preserve">
Open
Closed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E6" authorId="0" shapeId="0" xr:uid="{00000000-0006-0000-0300-000001000000}">
      <text>
        <r>
          <rPr>
            <b/>
            <sz val="9"/>
            <color indexed="81"/>
            <rFont val="Tahoma"/>
            <family val="2"/>
          </rPr>
          <t>Windows User:</t>
        </r>
        <r>
          <rPr>
            <sz val="9"/>
            <color indexed="81"/>
            <rFont val="Tahoma"/>
            <family val="2"/>
          </rPr>
          <t xml:space="preserve">
GV ID</t>
        </r>
      </text>
    </comment>
    <comment ref="D7" authorId="0" shapeId="0" xr:uid="{00000000-0006-0000-0300-000002000000}">
      <text>
        <r>
          <rPr>
            <b/>
            <sz val="9"/>
            <color indexed="81"/>
            <rFont val="Tahoma"/>
            <family val="2"/>
          </rPr>
          <t>see Drop Down:</t>
        </r>
        <r>
          <rPr>
            <sz val="9"/>
            <color indexed="81"/>
            <rFont val="Tahoma"/>
            <family val="2"/>
          </rPr>
          <t xml:space="preserve">
MD - Master Data
TRN - Transactional
ERInf-Accr - ER Info/Accrual
RPT - Report</t>
        </r>
      </text>
    </comment>
    <comment ref="E7" authorId="0" shapeId="0" xr:uid="{00000000-0006-0000-0300-000003000000}">
      <text>
        <r>
          <rPr>
            <b/>
            <sz val="9"/>
            <color indexed="81"/>
            <rFont val="Tahoma"/>
            <family val="2"/>
          </rPr>
          <t>Windows User:</t>
        </r>
        <r>
          <rPr>
            <sz val="9"/>
            <color indexed="81"/>
            <rFont val="Tahoma"/>
            <family val="2"/>
          </rPr>
          <t xml:space="preserve">
IT 0709  Global ID
</t>
        </r>
      </text>
    </comment>
    <comment ref="B45" authorId="0" shapeId="0" xr:uid="{00000000-0006-0000-0300-000004000000}">
      <text>
        <r>
          <rPr>
            <sz val="9"/>
            <color indexed="81"/>
            <rFont val="Tahoma"/>
            <family val="2"/>
          </rPr>
          <t>Average salary?  retro back to the last year or previous 12 month to see whether the “for period” or “in period” is selected for average salary calculation.</t>
        </r>
      </text>
    </comment>
    <comment ref="B53" authorId="0" shapeId="0" xr:uid="{00000000-0006-0000-0300-000005000000}">
      <text>
        <r>
          <rPr>
            <sz val="9"/>
            <color indexed="81"/>
            <rFont val="Tahoma"/>
            <family val="2"/>
          </rPr>
          <t>1)EE has org transfer in the middle of the pervious month and also current month, to check if  basic salary is doubled.
2)EE has org transfer in the middle of the pervious month and again in current month, and EE took maternatity leave from previous month  (especially on 15th and 16th), check the SUM which should be no contribution. (Retro org transfer with Maternity leave on 15th/16th) 
3)New hire EE has org  transfer in the new hire month, to check if  basic salary is doubled.</t>
        </r>
      </text>
    </comment>
    <comment ref="B68" authorId="0" shapeId="0" xr:uid="{00000000-0006-0000-0300-000006000000}">
      <text>
        <r>
          <rPr>
            <sz val="9"/>
            <color indexed="81"/>
            <rFont val="Tahoma"/>
            <family val="2"/>
          </rPr>
          <t xml:space="preserve">Check Transfer EE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C5" authorId="0" shapeId="0" xr:uid="{00000000-0006-0000-0600-000001000000}">
      <text>
        <r>
          <rPr>
            <b/>
            <sz val="9"/>
            <color indexed="81"/>
            <rFont val="Tahoma"/>
            <family val="2"/>
          </rPr>
          <t>See Drop Down List:</t>
        </r>
        <r>
          <rPr>
            <sz val="9"/>
            <color indexed="81"/>
            <rFont val="Tahoma"/>
            <family val="2"/>
          </rPr>
          <t xml:space="preserve">
0008
0014
0015
0267
0416
2001
2010
Auto Generate</t>
        </r>
      </text>
    </comment>
    <comment ref="D5" authorId="0" shapeId="0" xr:uid="{00000000-0006-0000-0600-000002000000}">
      <text>
        <r>
          <rPr>
            <b/>
            <sz val="9"/>
            <color indexed="81"/>
            <rFont val="Tahoma"/>
            <family val="2"/>
          </rPr>
          <t>See Drop Down:</t>
        </r>
        <r>
          <rPr>
            <sz val="9"/>
            <color indexed="81"/>
            <rFont val="Tahoma"/>
            <family val="2"/>
          </rPr>
          <t xml:space="preserve">
Payment
Deduction
Notational
Paid Leave
Unpaid Leave
Override
ER Contribution
EE Contribution
Attendance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lglasson</author>
    <author>Windows User</author>
    <author>Xia, Summer (ESI)</author>
    <author>charley</author>
  </authors>
  <commentList>
    <comment ref="B6" authorId="0" shapeId="0" xr:uid="{00000000-0006-0000-0800-000001000000}">
      <text>
        <r>
          <rPr>
            <b/>
            <sz val="8"/>
            <color indexed="81"/>
            <rFont val="Tahoma"/>
            <family val="2"/>
          </rPr>
          <t>lglasson:</t>
        </r>
        <r>
          <rPr>
            <sz val="8"/>
            <color indexed="81"/>
            <rFont val="Tahoma"/>
            <family val="2"/>
          </rPr>
          <t xml:space="preserve">
Recommend starting at 28000001</t>
        </r>
      </text>
    </comment>
    <comment ref="B7" authorId="0" shapeId="0" xr:uid="{00000000-0006-0000-0800-000002000000}">
      <text>
        <r>
          <rPr>
            <b/>
            <sz val="8"/>
            <color indexed="81"/>
            <rFont val="Tahoma"/>
            <family val="2"/>
          </rPr>
          <t>lglasson:</t>
        </r>
        <r>
          <rPr>
            <sz val="8"/>
            <color indexed="81"/>
            <rFont val="Tahoma"/>
            <family val="2"/>
          </rPr>
          <t xml:space="preserve">
dd.mm.yyyy</t>
        </r>
      </text>
    </comment>
    <comment ref="B8" authorId="0" shapeId="0" xr:uid="{00000000-0006-0000-0800-000003000000}">
      <text>
        <r>
          <rPr>
            <b/>
            <sz val="8"/>
            <color indexed="81"/>
            <rFont val="Tahoma"/>
            <family val="2"/>
          </rPr>
          <t>lglasson:</t>
        </r>
        <r>
          <rPr>
            <sz val="8"/>
            <color indexed="81"/>
            <rFont val="Tahoma"/>
            <family val="2"/>
          </rPr>
          <t xml:space="preserve">
4 characters</t>
        </r>
      </text>
    </comment>
    <comment ref="B9" authorId="0" shapeId="0" xr:uid="{00000000-0006-0000-0800-000004000000}">
      <text>
        <r>
          <rPr>
            <b/>
            <sz val="8"/>
            <color indexed="81"/>
            <rFont val="Tahoma"/>
            <family val="2"/>
          </rPr>
          <t>lglasson:</t>
        </r>
        <r>
          <rPr>
            <sz val="8"/>
            <color indexed="81"/>
            <rFont val="Tahoma"/>
            <family val="2"/>
          </rPr>
          <t xml:space="preserve">
4 characters</t>
        </r>
      </text>
    </comment>
    <comment ref="B10" authorId="0" shapeId="0" xr:uid="{00000000-0006-0000-0800-000005000000}">
      <text>
        <r>
          <rPr>
            <b/>
            <sz val="8"/>
            <color indexed="81"/>
            <rFont val="Tahoma"/>
            <family val="2"/>
          </rPr>
          <t>lglasson:</t>
        </r>
        <r>
          <rPr>
            <sz val="8"/>
            <color indexed="81"/>
            <rFont val="Tahoma"/>
            <family val="2"/>
          </rPr>
          <t xml:space="preserve">
1 character</t>
        </r>
      </text>
    </comment>
    <comment ref="B11" authorId="0" shapeId="0" xr:uid="{00000000-0006-0000-0800-000006000000}">
      <text>
        <r>
          <rPr>
            <b/>
            <sz val="8"/>
            <color indexed="81"/>
            <rFont val="Tahoma"/>
            <family val="2"/>
          </rPr>
          <t>lglasson:</t>
        </r>
        <r>
          <rPr>
            <sz val="8"/>
            <color indexed="81"/>
            <rFont val="Tahoma"/>
            <family val="2"/>
          </rPr>
          <t xml:space="preserve">
2 characters</t>
        </r>
      </text>
    </comment>
    <comment ref="B12" authorId="0" shapeId="0" xr:uid="{00000000-0006-0000-0800-000007000000}">
      <text>
        <r>
          <rPr>
            <b/>
            <sz val="8"/>
            <color indexed="81"/>
            <rFont val="Tahoma"/>
            <family val="2"/>
          </rPr>
          <t>lglasson:</t>
        </r>
        <r>
          <rPr>
            <sz val="8"/>
            <color indexed="81"/>
            <rFont val="Tahoma"/>
            <family val="2"/>
          </rPr>
          <t xml:space="preserve">
4 characters</t>
        </r>
      </text>
    </comment>
    <comment ref="B13" authorId="0" shapeId="0" xr:uid="{00000000-0006-0000-0800-000008000000}">
      <text>
        <r>
          <rPr>
            <b/>
            <sz val="8"/>
            <color indexed="81"/>
            <rFont val="Tahoma"/>
            <family val="2"/>
          </rPr>
          <t>lglasson:</t>
        </r>
        <r>
          <rPr>
            <sz val="8"/>
            <color indexed="81"/>
            <rFont val="Tahoma"/>
            <family val="2"/>
          </rPr>
          <t xml:space="preserve">
2 characters</t>
        </r>
      </text>
    </comment>
    <comment ref="B14" authorId="0" shapeId="0" xr:uid="{00000000-0006-0000-0800-000009000000}">
      <text>
        <r>
          <rPr>
            <b/>
            <sz val="8"/>
            <color indexed="81"/>
            <rFont val="Tahoma"/>
            <family val="2"/>
          </rPr>
          <t>lglasson:</t>
        </r>
        <r>
          <rPr>
            <sz val="8"/>
            <color indexed="81"/>
            <rFont val="Tahoma"/>
            <family val="2"/>
          </rPr>
          <t xml:space="preserve">
Enter default 999999999</t>
        </r>
      </text>
    </comment>
    <comment ref="B15" authorId="0" shapeId="0" xr:uid="{00000000-0006-0000-0800-00000A000000}">
      <text>
        <r>
          <rPr>
            <b/>
            <sz val="8"/>
            <color indexed="81"/>
            <rFont val="Tahoma"/>
            <family val="2"/>
          </rPr>
          <t>lglasson:</t>
        </r>
        <r>
          <rPr>
            <sz val="8"/>
            <color indexed="81"/>
            <rFont val="Tahoma"/>
            <family val="2"/>
          </rPr>
          <t xml:space="preserve">
Enter Mr, Mrs, Miss or Ms</t>
        </r>
      </text>
    </comment>
    <comment ref="B16" authorId="0" shapeId="0" xr:uid="{00000000-0006-0000-0800-00000B000000}">
      <text>
        <r>
          <rPr>
            <b/>
            <sz val="8"/>
            <color indexed="81"/>
            <rFont val="Tahoma"/>
            <family val="2"/>
          </rPr>
          <t>lglasson:</t>
        </r>
        <r>
          <rPr>
            <sz val="8"/>
            <color indexed="81"/>
            <rFont val="Tahoma"/>
            <family val="2"/>
          </rPr>
          <t xml:space="preserve">
User specific</t>
        </r>
      </text>
    </comment>
    <comment ref="B17" authorId="0" shapeId="0" xr:uid="{00000000-0006-0000-0800-00000C000000}">
      <text>
        <r>
          <rPr>
            <b/>
            <sz val="8"/>
            <color indexed="81"/>
            <rFont val="Tahoma"/>
            <family val="2"/>
          </rPr>
          <t>lglasson:</t>
        </r>
        <r>
          <rPr>
            <sz val="8"/>
            <color indexed="81"/>
            <rFont val="Tahoma"/>
            <family val="2"/>
          </rPr>
          <t xml:space="preserve">
User specific</t>
        </r>
      </text>
    </comment>
    <comment ref="B18" authorId="0" shapeId="0" xr:uid="{00000000-0006-0000-0800-00000D000000}">
      <text>
        <r>
          <rPr>
            <b/>
            <sz val="8"/>
            <color indexed="81"/>
            <rFont val="Tahoma"/>
            <family val="2"/>
          </rPr>
          <t>lglasson:</t>
        </r>
        <r>
          <rPr>
            <sz val="8"/>
            <color indexed="81"/>
            <rFont val="Tahoma"/>
            <family val="2"/>
          </rPr>
          <t xml:space="preserve">
Enter "F" for Female or "M" for Male</t>
        </r>
      </text>
    </comment>
    <comment ref="B19" authorId="0" shapeId="0" xr:uid="{00000000-0006-0000-0800-00000E000000}">
      <text>
        <r>
          <rPr>
            <b/>
            <sz val="8"/>
            <color indexed="81"/>
            <rFont val="Tahoma"/>
            <family val="2"/>
          </rPr>
          <t>lglasson:</t>
        </r>
        <r>
          <rPr>
            <sz val="8"/>
            <color indexed="81"/>
            <rFont val="Tahoma"/>
            <family val="2"/>
          </rPr>
          <t xml:space="preserve">
Recommended date for UAT testing is 11.05.1968</t>
        </r>
      </text>
    </comment>
    <comment ref="B20" authorId="0" shapeId="0" xr:uid="{00000000-0006-0000-0800-00000F000000}">
      <text>
        <r>
          <rPr>
            <b/>
            <sz val="8"/>
            <color indexed="81"/>
            <rFont val="Tahoma"/>
            <family val="2"/>
          </rPr>
          <t>lglasson:</t>
        </r>
        <r>
          <rPr>
            <sz val="8"/>
            <color indexed="81"/>
            <rFont val="Tahoma"/>
            <family val="2"/>
          </rPr>
          <t xml:space="preserve">
2 characters.  Example:
CN - Chinese
MY - Malaysian
SG - Singaporean</t>
        </r>
      </text>
    </comment>
    <comment ref="B21" authorId="0" shapeId="0" xr:uid="{00000000-0006-0000-0800-000010000000}">
      <text>
        <r>
          <rPr>
            <b/>
            <sz val="8"/>
            <color indexed="81"/>
            <rFont val="Tahoma"/>
            <family val="2"/>
          </rPr>
          <t>lglasson:</t>
        </r>
        <r>
          <rPr>
            <sz val="8"/>
            <color indexed="81"/>
            <rFont val="Tahoma"/>
            <family val="2"/>
          </rPr>
          <t xml:space="preserve">
Possible entries available:
1 - Permanent Residence
3 - Home Address
5 - Mailing Address</t>
        </r>
      </text>
    </comment>
    <comment ref="B22" authorId="0" shapeId="0" xr:uid="{00000000-0006-0000-0800-000011000000}">
      <text>
        <r>
          <rPr>
            <b/>
            <sz val="8"/>
            <color indexed="81"/>
            <rFont val="Tahoma"/>
            <family val="2"/>
          </rPr>
          <t>lglasson:</t>
        </r>
        <r>
          <rPr>
            <sz val="8"/>
            <color indexed="81"/>
            <rFont val="Tahoma"/>
            <family val="2"/>
          </rPr>
          <t xml:space="preserve">
User Specific</t>
        </r>
      </text>
    </comment>
    <comment ref="B23" authorId="0" shapeId="0" xr:uid="{00000000-0006-0000-0800-000012000000}">
      <text>
        <r>
          <rPr>
            <b/>
            <sz val="8"/>
            <color indexed="81"/>
            <rFont val="Tahoma"/>
            <family val="2"/>
          </rPr>
          <t>lglasson:</t>
        </r>
        <r>
          <rPr>
            <sz val="8"/>
            <color indexed="81"/>
            <rFont val="Tahoma"/>
            <family val="2"/>
          </rPr>
          <t xml:space="preserve">
7 or 8 characters</t>
        </r>
      </text>
    </comment>
    <comment ref="B25" authorId="0" shapeId="0" xr:uid="{00000000-0006-0000-0800-000013000000}">
      <text>
        <r>
          <rPr>
            <b/>
            <sz val="8"/>
            <color indexed="81"/>
            <rFont val="Tahoma"/>
            <family val="2"/>
          </rPr>
          <t xml:space="preserve">lglasson:
</t>
        </r>
        <r>
          <rPr>
            <sz val="8"/>
            <color indexed="81"/>
            <rFont val="Tahoma"/>
            <family val="2"/>
          </rPr>
          <t xml:space="preserve">1 character.  Common options are:
0 - No Time Eval
7 - Time eval with IT2006
</t>
        </r>
      </text>
    </comment>
    <comment ref="B26" authorId="1" shapeId="0" xr:uid="{00000000-0006-0000-0800-000014000000}">
      <text>
        <r>
          <rPr>
            <sz val="9"/>
            <color indexed="81"/>
            <rFont val="Tahoma"/>
            <family val="2"/>
          </rPr>
          <t>Global ID ie Legacy EE No. Will appear on EE payslip usually</t>
        </r>
      </text>
    </comment>
    <comment ref="C26" authorId="1" shapeId="0" xr:uid="{00000000-0006-0000-0800-000015000000}">
      <text>
        <r>
          <rPr>
            <b/>
            <sz val="9"/>
            <color indexed="81"/>
            <rFont val="Tahoma"/>
            <family val="2"/>
          </rPr>
          <t>Windows User:</t>
        </r>
        <r>
          <rPr>
            <sz val="9"/>
            <color indexed="81"/>
            <rFont val="Tahoma"/>
            <family val="2"/>
          </rPr>
          <t xml:space="preserve">
IT 0709  Global ID
</t>
        </r>
      </text>
    </comment>
    <comment ref="B28" authorId="0" shapeId="0" xr:uid="{00000000-0006-0000-0800-000016000000}">
      <text>
        <r>
          <rPr>
            <b/>
            <sz val="8"/>
            <color indexed="81"/>
            <rFont val="Tahoma"/>
            <family val="2"/>
          </rPr>
          <t>lglasson:</t>
        </r>
        <r>
          <rPr>
            <sz val="8"/>
            <color indexed="81"/>
            <rFont val="Tahoma"/>
            <family val="2"/>
          </rPr>
          <t xml:space="preserve">
Client Specific</t>
        </r>
      </text>
    </comment>
    <comment ref="B31" authorId="0" shapeId="0" xr:uid="{00000000-0006-0000-0800-000017000000}">
      <text>
        <r>
          <rPr>
            <b/>
            <sz val="8"/>
            <color indexed="81"/>
            <rFont val="Tahoma"/>
            <family val="2"/>
          </rPr>
          <t>lglasson:</t>
        </r>
        <r>
          <rPr>
            <sz val="8"/>
            <color indexed="81"/>
            <rFont val="Tahoma"/>
            <family val="2"/>
          </rPr>
          <t xml:space="preserve">
4 characters</t>
        </r>
      </text>
    </comment>
    <comment ref="B32" authorId="0" shapeId="0" xr:uid="{00000000-0006-0000-0800-000018000000}">
      <text>
        <r>
          <rPr>
            <b/>
            <sz val="8"/>
            <color indexed="81"/>
            <rFont val="Tahoma"/>
            <family val="2"/>
          </rPr>
          <t>lglasson:</t>
        </r>
        <r>
          <rPr>
            <sz val="8"/>
            <color indexed="81"/>
            <rFont val="Tahoma"/>
            <family val="2"/>
          </rPr>
          <t xml:space="preserve">
up to 12 characters before decimal point</t>
        </r>
      </text>
    </comment>
    <comment ref="H32" authorId="2" shapeId="0" xr:uid="{00000000-0006-0000-0800-000019000000}">
      <text>
        <r>
          <rPr>
            <sz val="9"/>
            <color indexed="81"/>
            <rFont val="Tahoma"/>
            <family val="2"/>
          </rPr>
          <t xml:space="preserve">USD
</t>
        </r>
      </text>
    </comment>
    <comment ref="I32" authorId="2" shapeId="0" xr:uid="{00000000-0006-0000-0800-00001A000000}">
      <text>
        <r>
          <rPr>
            <b/>
            <sz val="9"/>
            <color indexed="81"/>
            <rFont val="Tahoma"/>
            <family val="2"/>
          </rPr>
          <t>USD</t>
        </r>
      </text>
    </comment>
    <comment ref="J32" authorId="2" shapeId="0" xr:uid="{00000000-0006-0000-0800-00001B000000}">
      <text>
        <r>
          <rPr>
            <b/>
            <sz val="9"/>
            <color indexed="81"/>
            <rFont val="Tahoma"/>
            <family val="2"/>
          </rPr>
          <t>USD</t>
        </r>
      </text>
    </comment>
    <comment ref="B33" authorId="0" shapeId="0" xr:uid="{00000000-0006-0000-0800-00001C000000}">
      <text>
        <r>
          <rPr>
            <b/>
            <sz val="8"/>
            <color indexed="81"/>
            <rFont val="Tahoma"/>
            <family val="2"/>
          </rPr>
          <t>lglasson:</t>
        </r>
        <r>
          <rPr>
            <sz val="8"/>
            <color indexed="81"/>
            <rFont val="Tahoma"/>
            <family val="2"/>
          </rPr>
          <t xml:space="preserve">
4 characters</t>
        </r>
      </text>
    </comment>
    <comment ref="B34" authorId="0" shapeId="0" xr:uid="{00000000-0006-0000-0800-00001D000000}">
      <text>
        <r>
          <rPr>
            <b/>
            <sz val="8"/>
            <color indexed="81"/>
            <rFont val="Tahoma"/>
            <family val="2"/>
          </rPr>
          <t>lglasson:</t>
        </r>
        <r>
          <rPr>
            <sz val="8"/>
            <color indexed="81"/>
            <rFont val="Tahoma"/>
            <family val="2"/>
          </rPr>
          <t xml:space="preserve">
up to 12 characters before decimal point</t>
        </r>
      </text>
    </comment>
    <comment ref="I34" authorId="2" shapeId="0" xr:uid="{00000000-0006-0000-0800-00001E000000}">
      <text>
        <r>
          <rPr>
            <b/>
            <sz val="9"/>
            <color indexed="81"/>
            <rFont val="Tahoma"/>
            <family val="2"/>
          </rPr>
          <t>USD</t>
        </r>
        <r>
          <rPr>
            <sz val="9"/>
            <color indexed="81"/>
            <rFont val="Tahoma"/>
            <family val="2"/>
          </rPr>
          <t xml:space="preserve">
</t>
        </r>
      </text>
    </comment>
    <comment ref="B35" authorId="0" shapeId="0" xr:uid="{00000000-0006-0000-0800-00001F000000}">
      <text>
        <r>
          <rPr>
            <b/>
            <sz val="8"/>
            <color indexed="81"/>
            <rFont val="Tahoma"/>
            <family val="2"/>
          </rPr>
          <t>lglasson:</t>
        </r>
        <r>
          <rPr>
            <sz val="8"/>
            <color indexed="81"/>
            <rFont val="Tahoma"/>
            <family val="2"/>
          </rPr>
          <t xml:space="preserve">
4 characters</t>
        </r>
      </text>
    </comment>
    <comment ref="B36" authorId="0" shapeId="0" xr:uid="{00000000-0006-0000-0800-000020000000}">
      <text>
        <r>
          <rPr>
            <b/>
            <sz val="8"/>
            <color indexed="81"/>
            <rFont val="Tahoma"/>
            <family val="2"/>
          </rPr>
          <t>lglasson:</t>
        </r>
        <r>
          <rPr>
            <sz val="8"/>
            <color indexed="81"/>
            <rFont val="Tahoma"/>
            <family val="2"/>
          </rPr>
          <t xml:space="preserve">
up to 12 characters before decimal point</t>
        </r>
      </text>
    </comment>
    <comment ref="I36" authorId="2" shapeId="0" xr:uid="{00000000-0006-0000-0800-000021000000}">
      <text>
        <r>
          <rPr>
            <b/>
            <sz val="9"/>
            <color indexed="81"/>
            <rFont val="Tahoma"/>
            <family val="2"/>
          </rPr>
          <t>USD</t>
        </r>
        <r>
          <rPr>
            <sz val="9"/>
            <color indexed="81"/>
            <rFont val="Tahoma"/>
            <family val="2"/>
          </rPr>
          <t xml:space="preserve">
</t>
        </r>
      </text>
    </comment>
    <comment ref="B37" authorId="0" shapeId="0" xr:uid="{00000000-0006-0000-0800-000022000000}">
      <text>
        <r>
          <rPr>
            <b/>
            <sz val="8"/>
            <color indexed="81"/>
            <rFont val="Tahoma"/>
            <family val="2"/>
          </rPr>
          <t>lglasson:</t>
        </r>
        <r>
          <rPr>
            <sz val="8"/>
            <color indexed="81"/>
            <rFont val="Tahoma"/>
            <family val="2"/>
          </rPr>
          <t xml:space="preserve">
Client Specific (Ensure bank key is in SAP)</t>
        </r>
      </text>
    </comment>
    <comment ref="B38" authorId="0" shapeId="0" xr:uid="{00000000-0006-0000-0800-000023000000}">
      <text>
        <r>
          <rPr>
            <b/>
            <sz val="8"/>
            <color indexed="81"/>
            <rFont val="Tahoma"/>
            <family val="2"/>
          </rPr>
          <t>lglasson:</t>
        </r>
        <r>
          <rPr>
            <sz val="8"/>
            <color indexed="81"/>
            <rFont val="Tahoma"/>
            <family val="2"/>
          </rPr>
          <t xml:space="preserve">
User Specific</t>
        </r>
      </text>
    </comment>
    <comment ref="B39" authorId="0" shapeId="0" xr:uid="{00000000-0006-0000-0800-000024000000}">
      <text>
        <r>
          <rPr>
            <b/>
            <sz val="8"/>
            <color indexed="81"/>
            <rFont val="Tahoma"/>
            <family val="2"/>
          </rPr>
          <t>lglasson:</t>
        </r>
        <r>
          <rPr>
            <sz val="8"/>
            <color indexed="81"/>
            <rFont val="Tahoma"/>
            <family val="2"/>
          </rPr>
          <t xml:space="preserve">
1 character</t>
        </r>
      </text>
    </comment>
    <comment ref="B40" authorId="0" shapeId="0" xr:uid="{00000000-0006-0000-0800-000025000000}">
      <text>
        <r>
          <rPr>
            <b/>
            <sz val="8"/>
            <color indexed="81"/>
            <rFont val="Tahoma"/>
            <family val="2"/>
          </rPr>
          <t>lglasson:</t>
        </r>
        <r>
          <rPr>
            <sz val="8"/>
            <color indexed="81"/>
            <rFont val="Tahoma"/>
            <family val="2"/>
          </rPr>
          <t xml:space="preserve">
2 characters</t>
        </r>
      </text>
    </comment>
    <comment ref="B41" authorId="0" shapeId="0" xr:uid="{00000000-0006-0000-0800-000026000000}">
      <text>
        <r>
          <rPr>
            <b/>
            <sz val="8"/>
            <color indexed="81"/>
            <rFont val="Tahoma"/>
            <family val="2"/>
          </rPr>
          <t>lglasson:</t>
        </r>
        <r>
          <rPr>
            <sz val="8"/>
            <color indexed="81"/>
            <rFont val="Tahoma"/>
            <family val="2"/>
          </rPr>
          <t xml:space="preserve">
dd.mm.yyyy</t>
        </r>
      </text>
    </comment>
    <comment ref="B42" authorId="0" shapeId="0" xr:uid="{00000000-0006-0000-0800-000027000000}">
      <text>
        <r>
          <rPr>
            <b/>
            <sz val="8"/>
            <color indexed="81"/>
            <rFont val="Tahoma"/>
            <family val="2"/>
          </rPr>
          <t>lglasson:</t>
        </r>
        <r>
          <rPr>
            <sz val="8"/>
            <color indexed="81"/>
            <rFont val="Tahoma"/>
            <family val="2"/>
          </rPr>
          <t xml:space="preserve">
2 characters OR leave blank if not required</t>
        </r>
      </text>
    </comment>
    <comment ref="B43" authorId="0" shapeId="0" xr:uid="{00000000-0006-0000-0800-000028000000}">
      <text>
        <r>
          <rPr>
            <b/>
            <sz val="8"/>
            <color indexed="81"/>
            <rFont val="Tahoma"/>
            <family val="2"/>
          </rPr>
          <t>lglasson:</t>
        </r>
        <r>
          <rPr>
            <sz val="8"/>
            <color indexed="81"/>
            <rFont val="Tahoma"/>
            <family val="2"/>
          </rPr>
          <t xml:space="preserve">
dd.mm.yyyy OR leave blank if not required</t>
        </r>
      </text>
    </comment>
    <comment ref="B44" authorId="0" shapeId="0" xr:uid="{00000000-0006-0000-0800-000029000000}">
      <text>
        <r>
          <rPr>
            <b/>
            <sz val="8"/>
            <color indexed="81"/>
            <rFont val="Tahoma"/>
            <family val="2"/>
          </rPr>
          <t>lglasson:</t>
        </r>
        <r>
          <rPr>
            <sz val="8"/>
            <color indexed="81"/>
            <rFont val="Tahoma"/>
            <family val="2"/>
          </rPr>
          <t xml:space="preserve">
2 characters OR leave blank if not required</t>
        </r>
      </text>
    </comment>
    <comment ref="B45" authorId="0" shapeId="0" xr:uid="{00000000-0006-0000-0800-00002A000000}">
      <text>
        <r>
          <rPr>
            <b/>
            <sz val="8"/>
            <color indexed="81"/>
            <rFont val="Tahoma"/>
            <family val="2"/>
          </rPr>
          <t>lglasson:</t>
        </r>
        <r>
          <rPr>
            <sz val="8"/>
            <color indexed="81"/>
            <rFont val="Tahoma"/>
            <family val="2"/>
          </rPr>
          <t xml:space="preserve">
dd.mm.yyyy OR leave blank if not required</t>
        </r>
      </text>
    </comment>
    <comment ref="B46" authorId="0" shapeId="0" xr:uid="{00000000-0006-0000-0800-00002D000000}">
      <text>
        <r>
          <rPr>
            <b/>
            <sz val="8"/>
            <color indexed="81"/>
            <rFont val="Tahoma"/>
            <family val="2"/>
          </rPr>
          <t>lglasson:</t>
        </r>
        <r>
          <rPr>
            <sz val="8"/>
            <color indexed="81"/>
            <rFont val="Tahoma"/>
            <family val="2"/>
          </rPr>
          <t xml:space="preserve">
Standard entries are:
01 - Personal ID
02 - Passport</t>
        </r>
      </text>
    </comment>
    <comment ref="B47" authorId="3" shapeId="0" xr:uid="{00000000-0006-0000-0800-00002E000000}">
      <text>
        <r>
          <rPr>
            <b/>
            <sz val="8"/>
            <color indexed="81"/>
            <rFont val="Tahoma"/>
            <family val="2"/>
          </rPr>
          <t>lglasson:</t>
        </r>
        <r>
          <rPr>
            <sz val="8"/>
            <color indexed="81"/>
            <rFont val="Tahoma"/>
            <family val="2"/>
          </rPr>
          <t xml:space="preserve">
18 characters in all…in four blocks (6, 8, 3 &amp; 1).  Based on DOB 11.05.1968 … suggested ID number is:
"123456 19680511 222 0" for female and 
"123456 19680511 121 X" for male.</t>
        </r>
      </text>
    </comment>
    <comment ref="B50" authorId="0" shapeId="0" xr:uid="{00000000-0006-0000-0800-00002F000000}">
      <text>
        <r>
          <rPr>
            <b/>
            <sz val="8"/>
            <color indexed="81"/>
            <rFont val="Tahoma"/>
            <family val="2"/>
          </rPr>
          <t>dmartin:</t>
        </r>
        <r>
          <rPr>
            <sz val="8"/>
            <color indexed="81"/>
            <rFont val="Tahoma"/>
            <family val="2"/>
          </rPr>
          <t xml:space="preserve">
2 characters.  Example:
VN - Vietnam
CN - Chinese
MY - Malaysian
SG - Singaporean</t>
        </r>
      </text>
    </comment>
    <comment ref="B62" authorId="0" shapeId="0" xr:uid="{00000000-0006-0000-0800-000030000000}">
      <text>
        <r>
          <rPr>
            <b/>
            <sz val="8"/>
            <color indexed="81"/>
            <rFont val="Tahoma"/>
            <family val="2"/>
          </rPr>
          <t>lglasson:</t>
        </r>
        <r>
          <rPr>
            <sz val="8"/>
            <color indexed="81"/>
            <rFont val="Tahoma"/>
            <family val="2"/>
          </rPr>
          <t xml:space="preserve">
2 characters OR leave blank if not required</t>
        </r>
      </text>
    </comment>
    <comment ref="B64" authorId="0" shapeId="0" xr:uid="{00000000-0006-0000-0800-000031000000}">
      <text>
        <r>
          <rPr>
            <b/>
            <sz val="8"/>
            <color indexed="81"/>
            <rFont val="Tahoma"/>
            <family val="2"/>
          </rPr>
          <t>lglasson:</t>
        </r>
        <r>
          <rPr>
            <sz val="8"/>
            <color indexed="81"/>
            <rFont val="Tahoma"/>
            <family val="2"/>
          </rPr>
          <t xml:space="preserve">
dd.mm.yyyy OR leave blank if not required</t>
        </r>
      </text>
    </comment>
    <comment ref="B65" authorId="0" shapeId="0" xr:uid="{00000000-0006-0000-0800-000032000000}">
      <text>
        <r>
          <rPr>
            <b/>
            <sz val="8"/>
            <color indexed="81"/>
            <rFont val="Tahoma"/>
            <family val="2"/>
          </rPr>
          <t>lglasson:</t>
        </r>
        <r>
          <rPr>
            <sz val="8"/>
            <color indexed="81"/>
            <rFont val="Tahoma"/>
            <family val="2"/>
          </rPr>
          <t xml:space="preserve">
dd.mm.yyyy OR leave blank if not required</t>
        </r>
      </text>
    </comment>
    <comment ref="B66" authorId="0" shapeId="0" xr:uid="{00000000-0006-0000-0800-000033000000}">
      <text>
        <r>
          <rPr>
            <b/>
            <sz val="8"/>
            <color indexed="81"/>
            <rFont val="Tahoma"/>
            <family val="2"/>
          </rPr>
          <t>lglasson:</t>
        </r>
        <r>
          <rPr>
            <sz val="8"/>
            <color indexed="81"/>
            <rFont val="Tahoma"/>
            <family val="2"/>
          </rPr>
          <t xml:space="preserve">
2 characters OR leave blank if not required</t>
        </r>
      </text>
    </comment>
    <comment ref="B68" authorId="0" shapeId="0" xr:uid="{00000000-0006-0000-0800-000034000000}">
      <text>
        <r>
          <rPr>
            <b/>
            <sz val="8"/>
            <color indexed="81"/>
            <rFont val="Tahoma"/>
            <family val="2"/>
          </rPr>
          <t>lglasson:</t>
        </r>
        <r>
          <rPr>
            <sz val="8"/>
            <color indexed="81"/>
            <rFont val="Tahoma"/>
            <family val="2"/>
          </rPr>
          <t xml:space="preserve">
dd.mm.yyyy OR leave blank if not required</t>
        </r>
      </text>
    </comment>
    <comment ref="B69" authorId="0" shapeId="0" xr:uid="{00000000-0006-0000-0800-000035000000}">
      <text>
        <r>
          <rPr>
            <b/>
            <sz val="8"/>
            <color indexed="81"/>
            <rFont val="Tahoma"/>
            <family val="2"/>
          </rPr>
          <t>lglasson:</t>
        </r>
        <r>
          <rPr>
            <sz val="8"/>
            <color indexed="81"/>
            <rFont val="Tahoma"/>
            <family val="2"/>
          </rPr>
          <t xml:space="preserve">
dd.mm.yyyy OR leave blank if not required</t>
        </r>
      </text>
    </comment>
    <comment ref="B70" authorId="0" shapeId="0" xr:uid="{00000000-0006-0000-0800-000036000000}">
      <text>
        <r>
          <rPr>
            <b/>
            <sz val="8"/>
            <color indexed="81"/>
            <rFont val="Tahoma"/>
            <family val="2"/>
          </rPr>
          <t>lglasson:</t>
        </r>
        <r>
          <rPr>
            <sz val="8"/>
            <color indexed="81"/>
            <rFont val="Tahoma"/>
            <family val="2"/>
          </rPr>
          <t xml:space="preserve">
2 characters OR leave blank if not required</t>
        </r>
      </text>
    </comment>
    <comment ref="B72" authorId="0" shapeId="0" xr:uid="{00000000-0006-0000-0800-000037000000}">
      <text>
        <r>
          <rPr>
            <b/>
            <sz val="8"/>
            <color indexed="81"/>
            <rFont val="Tahoma"/>
            <family val="2"/>
          </rPr>
          <t>lglasson:</t>
        </r>
        <r>
          <rPr>
            <sz val="8"/>
            <color indexed="81"/>
            <rFont val="Tahoma"/>
            <family val="2"/>
          </rPr>
          <t xml:space="preserve">
dd.mm.yyyy OR leave blank if not required</t>
        </r>
      </text>
    </comment>
    <comment ref="B73" authorId="0" shapeId="0" xr:uid="{00000000-0006-0000-0800-000038000000}">
      <text>
        <r>
          <rPr>
            <b/>
            <sz val="8"/>
            <color indexed="81"/>
            <rFont val="Tahoma"/>
            <family val="2"/>
          </rPr>
          <t>lglasson:</t>
        </r>
        <r>
          <rPr>
            <sz val="8"/>
            <color indexed="81"/>
            <rFont val="Tahoma"/>
            <family val="2"/>
          </rPr>
          <t xml:space="preserve">
dd.mm.yyyy OR leave blank if not required</t>
        </r>
      </text>
    </comment>
    <comment ref="B74" authorId="0" shapeId="0" xr:uid="{00000000-0006-0000-0800-000039000000}">
      <text>
        <r>
          <rPr>
            <b/>
            <sz val="8"/>
            <color indexed="81"/>
            <rFont val="Tahoma"/>
            <family val="2"/>
          </rPr>
          <t>lglasson:</t>
        </r>
        <r>
          <rPr>
            <sz val="8"/>
            <color indexed="81"/>
            <rFont val="Tahoma"/>
            <family val="2"/>
          </rPr>
          <t xml:space="preserve">
2 characters OR leave blank if not required</t>
        </r>
      </text>
    </comment>
    <comment ref="B76" authorId="0" shapeId="0" xr:uid="{00000000-0006-0000-0800-00003A000000}">
      <text>
        <r>
          <rPr>
            <b/>
            <sz val="8"/>
            <color indexed="81"/>
            <rFont val="Tahoma"/>
            <family val="2"/>
          </rPr>
          <t>lglasson:</t>
        </r>
        <r>
          <rPr>
            <sz val="8"/>
            <color indexed="81"/>
            <rFont val="Tahoma"/>
            <family val="2"/>
          </rPr>
          <t xml:space="preserve">
dd.mm.yyyy OR leave blank if not required</t>
        </r>
      </text>
    </comment>
    <comment ref="B77" authorId="0" shapeId="0" xr:uid="{00000000-0006-0000-0800-00003B000000}">
      <text>
        <r>
          <rPr>
            <b/>
            <sz val="8"/>
            <color indexed="81"/>
            <rFont val="Tahoma"/>
            <family val="2"/>
          </rPr>
          <t>lglasson:</t>
        </r>
        <r>
          <rPr>
            <sz val="8"/>
            <color indexed="81"/>
            <rFont val="Tahoma"/>
            <family val="2"/>
          </rPr>
          <t xml:space="preserve">
dd.mm.yyyy OR leave blank if not required</t>
        </r>
      </text>
    </comment>
    <comment ref="B93" authorId="0" shapeId="0" xr:uid="{00000000-0006-0000-0800-00003C000000}">
      <text>
        <r>
          <rPr>
            <b/>
            <sz val="8"/>
            <color indexed="81"/>
            <rFont val="Tahoma"/>
            <family val="2"/>
          </rPr>
          <t>lglasson:</t>
        </r>
        <r>
          <rPr>
            <sz val="8"/>
            <color indexed="81"/>
            <rFont val="Tahoma"/>
            <family val="2"/>
          </rPr>
          <t xml:space="preserve">
Recommend starting at 28000001</t>
        </r>
      </text>
    </comment>
    <comment ref="B94" authorId="0" shapeId="0" xr:uid="{00000000-0006-0000-0800-00003D000000}">
      <text>
        <r>
          <rPr>
            <b/>
            <sz val="8"/>
            <color indexed="81"/>
            <rFont val="Tahoma"/>
            <family val="2"/>
          </rPr>
          <t>lglasson:</t>
        </r>
        <r>
          <rPr>
            <sz val="8"/>
            <color indexed="81"/>
            <rFont val="Tahoma"/>
            <family val="2"/>
          </rPr>
          <t xml:space="preserve">
dd.mm.yyyy</t>
        </r>
      </text>
    </comment>
    <comment ref="B95" authorId="0" shapeId="0" xr:uid="{00000000-0006-0000-0800-00003E000000}">
      <text>
        <r>
          <rPr>
            <b/>
            <sz val="8"/>
            <color indexed="81"/>
            <rFont val="Tahoma"/>
            <family val="2"/>
          </rPr>
          <t>lglasson:</t>
        </r>
        <r>
          <rPr>
            <sz val="8"/>
            <color indexed="81"/>
            <rFont val="Tahoma"/>
            <family val="2"/>
          </rPr>
          <t xml:space="preserve">
1 character</t>
        </r>
      </text>
    </comment>
    <comment ref="B96" authorId="0" shapeId="0" xr:uid="{00000000-0006-0000-0800-00003F000000}">
      <text>
        <r>
          <rPr>
            <b/>
            <sz val="8"/>
            <color indexed="81"/>
            <rFont val="Tahoma"/>
            <family val="2"/>
          </rPr>
          <t>lglasson:</t>
        </r>
        <r>
          <rPr>
            <sz val="8"/>
            <color indexed="81"/>
            <rFont val="Tahoma"/>
            <family val="2"/>
          </rPr>
          <t xml:space="preserve">
7 or 8 characters</t>
        </r>
      </text>
    </comment>
    <comment ref="B98" authorId="0" shapeId="0" xr:uid="{00000000-0006-0000-0800-000040000000}">
      <text>
        <r>
          <rPr>
            <b/>
            <sz val="8"/>
            <color indexed="81"/>
            <rFont val="Tahoma"/>
            <family val="2"/>
          </rPr>
          <t>lglasson:</t>
        </r>
        <r>
          <rPr>
            <sz val="8"/>
            <color indexed="81"/>
            <rFont val="Tahoma"/>
            <family val="2"/>
          </rPr>
          <t xml:space="preserve">
2 characters OR leave blank if not required</t>
        </r>
      </text>
    </comment>
    <comment ref="B99" authorId="0" shapeId="0" xr:uid="{00000000-0006-0000-0800-000041000000}">
      <text>
        <r>
          <rPr>
            <b/>
            <sz val="8"/>
            <color indexed="81"/>
            <rFont val="Tahoma"/>
            <family val="2"/>
          </rPr>
          <t>lglasson:</t>
        </r>
        <r>
          <rPr>
            <sz val="8"/>
            <color indexed="81"/>
            <rFont val="Tahoma"/>
            <family val="2"/>
          </rPr>
          <t xml:space="preserve">
dd.mm.yyyy OR leave blank if not required</t>
        </r>
      </text>
    </comment>
    <comment ref="B100" authorId="0" shapeId="0" xr:uid="{00000000-0006-0000-0800-000042000000}">
      <text>
        <r>
          <rPr>
            <b/>
            <sz val="8"/>
            <color indexed="81"/>
            <rFont val="Tahoma"/>
            <family val="2"/>
          </rPr>
          <t>lglasson:</t>
        </r>
        <r>
          <rPr>
            <sz val="8"/>
            <color indexed="81"/>
            <rFont val="Tahoma"/>
            <family val="2"/>
          </rPr>
          <t xml:space="preserve">
2 characters OR leave blank if not required</t>
        </r>
      </text>
    </comment>
    <comment ref="B102" authorId="0" shapeId="0" xr:uid="{00000000-0006-0000-0800-000043000000}">
      <text>
        <r>
          <rPr>
            <b/>
            <sz val="8"/>
            <color indexed="81"/>
            <rFont val="Tahoma"/>
            <family val="2"/>
          </rPr>
          <t>lglasson:</t>
        </r>
        <r>
          <rPr>
            <sz val="8"/>
            <color indexed="81"/>
            <rFont val="Tahoma"/>
            <family val="2"/>
          </rPr>
          <t xml:space="preserve">
dd.mm.yyyy OR leave blank if not required</t>
        </r>
      </text>
    </comment>
    <comment ref="B103" authorId="0" shapeId="0" xr:uid="{00000000-0006-0000-0800-000044000000}">
      <text>
        <r>
          <rPr>
            <b/>
            <sz val="8"/>
            <color indexed="81"/>
            <rFont val="Tahoma"/>
            <family val="2"/>
          </rPr>
          <t>lglasson:</t>
        </r>
        <r>
          <rPr>
            <sz val="8"/>
            <color indexed="81"/>
            <rFont val="Tahoma"/>
            <family val="2"/>
          </rPr>
          <t xml:space="preserve">
dd.mm.yyyy OR leave blank if not required</t>
        </r>
      </text>
    </comment>
    <comment ref="B104" authorId="0" shapeId="0" xr:uid="{00000000-0006-0000-0800-000045000000}">
      <text>
        <r>
          <rPr>
            <b/>
            <sz val="8"/>
            <color indexed="81"/>
            <rFont val="Tahoma"/>
            <family val="2"/>
          </rPr>
          <t>lglasson:</t>
        </r>
        <r>
          <rPr>
            <sz val="8"/>
            <color indexed="81"/>
            <rFont val="Tahoma"/>
            <family val="2"/>
          </rPr>
          <t xml:space="preserve">
2 characters OR leave blank if not required</t>
        </r>
      </text>
    </comment>
    <comment ref="B106" authorId="0" shapeId="0" xr:uid="{00000000-0006-0000-0800-000046000000}">
      <text>
        <r>
          <rPr>
            <b/>
            <sz val="8"/>
            <color indexed="81"/>
            <rFont val="Tahoma"/>
            <family val="2"/>
          </rPr>
          <t>lglasson:</t>
        </r>
        <r>
          <rPr>
            <sz val="8"/>
            <color indexed="81"/>
            <rFont val="Tahoma"/>
            <family val="2"/>
          </rPr>
          <t xml:space="preserve">
dd.mm.yyyy OR leave blank if not required</t>
        </r>
      </text>
    </comment>
    <comment ref="B107" authorId="0" shapeId="0" xr:uid="{00000000-0006-0000-0800-000047000000}">
      <text>
        <r>
          <rPr>
            <b/>
            <sz val="8"/>
            <color indexed="81"/>
            <rFont val="Tahoma"/>
            <family val="2"/>
          </rPr>
          <t>lglasson:</t>
        </r>
        <r>
          <rPr>
            <sz val="8"/>
            <color indexed="81"/>
            <rFont val="Tahoma"/>
            <family val="2"/>
          </rPr>
          <t xml:space="preserve">
dd.mm.yyyy OR leave blank if not required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lglasson</author>
    <author>Xia, Summer (ESI)</author>
    <author>Windows User</author>
  </authors>
  <commentList>
    <comment ref="W22" authorId="0" shapeId="0" xr:uid="{00000000-0006-0000-0900-000001000000}">
      <text>
        <r>
          <rPr>
            <b/>
            <sz val="8"/>
            <color indexed="81"/>
            <rFont val="Tahoma"/>
            <family val="2"/>
          </rPr>
          <t>lglasson:</t>
        </r>
        <r>
          <rPr>
            <sz val="8"/>
            <color indexed="81"/>
            <rFont val="Tahoma"/>
            <family val="2"/>
          </rPr>
          <t xml:space="preserve">
Compulsory Field.
EE SAP number</t>
        </r>
      </text>
    </comment>
    <comment ref="X22" authorId="0" shapeId="0" xr:uid="{00000000-0006-0000-0900-000002000000}">
      <text>
        <r>
          <rPr>
            <b/>
            <sz val="8"/>
            <color indexed="81"/>
            <rFont val="Tahoma"/>
            <family val="2"/>
          </rPr>
          <t>lglasson:</t>
        </r>
        <r>
          <rPr>
            <sz val="8"/>
            <color indexed="81"/>
            <rFont val="Tahoma"/>
            <family val="2"/>
          </rPr>
          <t xml:space="preserve">
Compulsory Field.
dd.mm.yyyy</t>
        </r>
      </text>
    </comment>
    <comment ref="Y22" authorId="0" shapeId="0" xr:uid="{00000000-0006-0000-0900-000003000000}">
      <text>
        <r>
          <rPr>
            <b/>
            <sz val="8"/>
            <color indexed="81"/>
            <rFont val="Tahoma"/>
            <family val="2"/>
          </rPr>
          <t>lglasson:</t>
        </r>
        <r>
          <rPr>
            <sz val="8"/>
            <color indexed="81"/>
            <rFont val="Tahoma"/>
            <family val="2"/>
          </rPr>
          <t xml:space="preserve">
Compulsory Field.
dd.mm.yyyy</t>
        </r>
      </text>
    </comment>
    <comment ref="Z22" authorId="0" shapeId="0" xr:uid="{00000000-0006-0000-0900-000004000000}">
      <text>
        <r>
          <rPr>
            <b/>
            <sz val="8"/>
            <color indexed="81"/>
            <rFont val="Tahoma"/>
            <family val="2"/>
          </rPr>
          <t>lglasson:</t>
        </r>
        <r>
          <rPr>
            <sz val="8"/>
            <color indexed="81"/>
            <rFont val="Tahoma"/>
            <family val="2"/>
          </rPr>
          <t xml:space="preserve">
Compulsory Field.
4 characters</t>
        </r>
      </text>
    </comment>
    <comment ref="AA22" authorId="0" shapeId="0" xr:uid="{00000000-0006-0000-0900-000005000000}">
      <text>
        <r>
          <rPr>
            <b/>
            <sz val="8"/>
            <color indexed="81"/>
            <rFont val="Tahoma"/>
            <family val="2"/>
          </rPr>
          <t>lglasson:</t>
        </r>
        <r>
          <rPr>
            <sz val="8"/>
            <color indexed="81"/>
            <rFont val="Tahoma"/>
            <family val="2"/>
          </rPr>
          <t xml:space="preserve">
Represents the amount entered into the wage type per pay period without any proration or any other client specific calculation</t>
        </r>
      </text>
    </comment>
    <comment ref="AB22" authorId="0" shapeId="0" xr:uid="{00000000-0006-0000-0900-000006000000}">
      <text>
        <r>
          <rPr>
            <b/>
            <sz val="8"/>
            <color indexed="81"/>
            <rFont val="Tahoma"/>
            <family val="2"/>
          </rPr>
          <t>lglasson:</t>
        </r>
        <r>
          <rPr>
            <sz val="8"/>
            <color indexed="81"/>
            <rFont val="Tahoma"/>
            <family val="2"/>
          </rPr>
          <t xml:space="preserve">
Up to 5 characters before numeric point</t>
        </r>
      </text>
    </comment>
    <comment ref="AC22" authorId="0" shapeId="0" xr:uid="{00000000-0006-0000-0900-000007000000}">
      <text>
        <r>
          <rPr>
            <b/>
            <sz val="8"/>
            <color indexed="81"/>
            <rFont val="Tahoma"/>
            <family val="2"/>
          </rPr>
          <t>lglasson:</t>
        </r>
        <r>
          <rPr>
            <sz val="8"/>
            <color indexed="81"/>
            <rFont val="Tahoma"/>
            <family val="2"/>
          </rPr>
          <t xml:space="preserve">
Inputs are:
Hours
Days
Weeks
Percent
Units
Months</t>
        </r>
      </text>
    </comment>
    <comment ref="A23" authorId="0" shapeId="0" xr:uid="{00000000-0006-0000-0900-000008000000}">
      <text>
        <r>
          <rPr>
            <b/>
            <sz val="8"/>
            <color indexed="81"/>
            <rFont val="Tahoma"/>
            <family val="2"/>
          </rPr>
          <t>lglasson:</t>
        </r>
        <r>
          <rPr>
            <sz val="8"/>
            <color indexed="81"/>
            <rFont val="Tahoma"/>
            <family val="2"/>
          </rPr>
          <t xml:space="preserve">
As per blueprint</t>
        </r>
      </text>
    </comment>
    <comment ref="H40" authorId="1" shapeId="0" xr:uid="{00000000-0006-0000-0900-000009000000}">
      <text>
        <r>
          <rPr>
            <b/>
            <sz val="9"/>
            <color indexed="81"/>
            <rFont val="Tahoma"/>
            <family val="2"/>
          </rPr>
          <t>One of EE's DP is &lt; 18 yr old</t>
        </r>
        <r>
          <rPr>
            <sz val="9"/>
            <color indexed="81"/>
            <rFont val="Tahoma"/>
            <family val="2"/>
          </rPr>
          <t xml:space="preserve">
</t>
        </r>
      </text>
    </comment>
    <comment ref="A45" authorId="0" shapeId="0" xr:uid="{00000000-0006-0000-0900-00000A000000}">
      <text>
        <r>
          <rPr>
            <b/>
            <sz val="8"/>
            <color indexed="81"/>
            <rFont val="Tahoma"/>
            <family val="2"/>
          </rPr>
          <t>lglasson:</t>
        </r>
        <r>
          <rPr>
            <sz val="8"/>
            <color indexed="81"/>
            <rFont val="Tahoma"/>
            <family val="2"/>
          </rPr>
          <t xml:space="preserve">
As per blueprint</t>
        </r>
      </text>
    </comment>
    <comment ref="A46" authorId="2" shapeId="0" xr:uid="{00000000-0006-0000-0900-00000B000000}">
      <text>
        <r>
          <rPr>
            <b/>
            <sz val="9"/>
            <color indexed="81"/>
            <rFont val="Tahoma"/>
            <family val="2"/>
          </rPr>
          <t>Windows User:</t>
        </r>
        <r>
          <rPr>
            <sz val="9"/>
            <color indexed="81"/>
            <rFont val="Tahoma"/>
            <family val="2"/>
          </rPr>
          <t xml:space="preserve">
capping amount = 23,000,000</t>
        </r>
      </text>
    </comment>
    <comment ref="L46" authorId="1" shapeId="0" xr:uid="{00000000-0006-0000-0900-00000C000000}">
      <text>
        <r>
          <rPr>
            <b/>
            <sz val="9"/>
            <color indexed="81"/>
            <rFont val="Tahoma"/>
            <family val="2"/>
          </rPr>
          <t>Insurance Base capped as 27,800,000</t>
        </r>
        <r>
          <rPr>
            <sz val="9"/>
            <color indexed="81"/>
            <rFont val="Tahoma"/>
            <family val="2"/>
          </rPr>
          <t xml:space="preserve">
</t>
        </r>
      </text>
    </comment>
    <comment ref="L47" authorId="1" shapeId="0" xr:uid="{00000000-0006-0000-0900-00000D000000}">
      <text>
        <r>
          <rPr>
            <b/>
            <sz val="9"/>
            <color indexed="81"/>
            <rFont val="Tahoma"/>
            <family val="2"/>
          </rPr>
          <t>Insurance Base capped as 83,600,000</t>
        </r>
        <r>
          <rPr>
            <sz val="9"/>
            <color indexed="81"/>
            <rFont val="Tahoma"/>
            <family val="2"/>
          </rPr>
          <t xml:space="preserve">
</t>
        </r>
      </text>
    </comment>
    <comment ref="L48" authorId="1" shapeId="0" xr:uid="{00000000-0006-0000-0900-00000E000000}">
      <text>
        <r>
          <rPr>
            <b/>
            <sz val="9"/>
            <color indexed="81"/>
            <rFont val="Tahoma"/>
            <family val="2"/>
          </rPr>
          <t>Insurance Base capped as 27,800,000</t>
        </r>
        <r>
          <rPr>
            <sz val="9"/>
            <color indexed="81"/>
            <rFont val="Tahoma"/>
            <family val="2"/>
          </rPr>
          <t xml:space="preserve">
</t>
        </r>
      </text>
    </comment>
    <comment ref="H53" authorId="1" shapeId="0" xr:uid="{00000000-0006-0000-0900-00000F000000}">
      <text>
        <r>
          <rPr>
            <b/>
            <sz val="9"/>
            <color indexed="81"/>
            <rFont val="Tahoma"/>
            <family val="2"/>
          </rPr>
          <t>One of EE's DP is &lt; 18 yr old</t>
        </r>
        <r>
          <rPr>
            <sz val="9"/>
            <color indexed="81"/>
            <rFont val="Tahoma"/>
            <family val="2"/>
          </rPr>
          <t xml:space="preserve">
</t>
        </r>
      </text>
    </comment>
    <comment ref="A60" authorId="2" shapeId="0" xr:uid="{00000000-0006-0000-0900-000010000000}">
      <text>
        <r>
          <rPr>
            <b/>
            <sz val="9"/>
            <color indexed="81"/>
            <rFont val="Tahoma"/>
            <family val="2"/>
          </rPr>
          <t>Windows User:</t>
        </r>
        <r>
          <rPr>
            <sz val="9"/>
            <color indexed="81"/>
            <rFont val="Tahoma"/>
            <family val="2"/>
          </rPr>
          <t xml:space="preserve">
capping amount = 23,000,000
</t>
        </r>
      </text>
    </comment>
    <comment ref="W77" authorId="0" shapeId="0" xr:uid="{00000000-0006-0000-0900-000011000000}">
      <text>
        <r>
          <rPr>
            <b/>
            <sz val="8"/>
            <color indexed="81"/>
            <rFont val="Tahoma"/>
            <family val="2"/>
          </rPr>
          <t>lglasson:</t>
        </r>
        <r>
          <rPr>
            <sz val="8"/>
            <color indexed="81"/>
            <rFont val="Tahoma"/>
            <family val="2"/>
          </rPr>
          <t xml:space="preserve">
Compulsory Field.
EE SAP number</t>
        </r>
      </text>
    </comment>
    <comment ref="X77" authorId="0" shapeId="0" xr:uid="{00000000-0006-0000-0900-000012000000}">
      <text>
        <r>
          <rPr>
            <b/>
            <sz val="8"/>
            <color indexed="81"/>
            <rFont val="Tahoma"/>
            <family val="2"/>
          </rPr>
          <t>lglasson:</t>
        </r>
        <r>
          <rPr>
            <sz val="8"/>
            <color indexed="81"/>
            <rFont val="Tahoma"/>
            <family val="2"/>
          </rPr>
          <t xml:space="preserve">
Compulsory Field.
dd.mm.yyyy</t>
        </r>
      </text>
    </comment>
    <comment ref="Y77" authorId="0" shapeId="0" xr:uid="{00000000-0006-0000-0900-000013000000}">
      <text>
        <r>
          <rPr>
            <b/>
            <sz val="8"/>
            <color indexed="81"/>
            <rFont val="Tahoma"/>
            <family val="2"/>
          </rPr>
          <t>lglasson:</t>
        </r>
        <r>
          <rPr>
            <sz val="8"/>
            <color indexed="81"/>
            <rFont val="Tahoma"/>
            <family val="2"/>
          </rPr>
          <t xml:space="preserve">
Compulsory Field.
dd.mm.yyyy</t>
        </r>
      </text>
    </comment>
    <comment ref="Z77" authorId="0" shapeId="0" xr:uid="{00000000-0006-0000-0900-000014000000}">
      <text>
        <r>
          <rPr>
            <b/>
            <sz val="8"/>
            <color indexed="81"/>
            <rFont val="Tahoma"/>
            <family val="2"/>
          </rPr>
          <t>lglasson:</t>
        </r>
        <r>
          <rPr>
            <sz val="8"/>
            <color indexed="81"/>
            <rFont val="Tahoma"/>
            <family val="2"/>
          </rPr>
          <t xml:space="preserve">
Compulsory Field.
4 characters</t>
        </r>
      </text>
    </comment>
    <comment ref="AA77" authorId="0" shapeId="0" xr:uid="{00000000-0006-0000-0900-000015000000}">
      <text>
        <r>
          <rPr>
            <b/>
            <sz val="8"/>
            <color indexed="81"/>
            <rFont val="Tahoma"/>
            <family val="2"/>
          </rPr>
          <t>lglasson:</t>
        </r>
        <r>
          <rPr>
            <sz val="8"/>
            <color indexed="81"/>
            <rFont val="Tahoma"/>
            <family val="2"/>
          </rPr>
          <t xml:space="preserve">
Represents the amount entered into the wage type per pay period without any proration or any other client specific calculation</t>
        </r>
      </text>
    </comment>
    <comment ref="AB77" authorId="0" shapeId="0" xr:uid="{00000000-0006-0000-0900-000016000000}">
      <text>
        <r>
          <rPr>
            <b/>
            <sz val="8"/>
            <color indexed="81"/>
            <rFont val="Tahoma"/>
            <family val="2"/>
          </rPr>
          <t>lglasson:</t>
        </r>
        <r>
          <rPr>
            <sz val="8"/>
            <color indexed="81"/>
            <rFont val="Tahoma"/>
            <family val="2"/>
          </rPr>
          <t xml:space="preserve">
Up to 5 characters before numeric point</t>
        </r>
      </text>
    </comment>
    <comment ref="AC77" authorId="0" shapeId="0" xr:uid="{00000000-0006-0000-0900-000017000000}">
      <text>
        <r>
          <rPr>
            <b/>
            <sz val="8"/>
            <color indexed="81"/>
            <rFont val="Tahoma"/>
            <family val="2"/>
          </rPr>
          <t>lglasson:</t>
        </r>
        <r>
          <rPr>
            <sz val="8"/>
            <color indexed="81"/>
            <rFont val="Tahoma"/>
            <family val="2"/>
          </rPr>
          <t xml:space="preserve">
Inputs are:
Hours
Days
Weeks
Percent
Units
Months</t>
        </r>
      </text>
    </comment>
    <comment ref="W85" authorId="0" shapeId="0" xr:uid="{00000000-0006-0000-0900-000018000000}">
      <text>
        <r>
          <rPr>
            <b/>
            <sz val="8"/>
            <color indexed="81"/>
            <rFont val="Tahoma"/>
            <family val="2"/>
          </rPr>
          <t>lglasson:</t>
        </r>
        <r>
          <rPr>
            <sz val="8"/>
            <color indexed="81"/>
            <rFont val="Tahoma"/>
            <family val="2"/>
          </rPr>
          <t xml:space="preserve">
Compulsory Field.
EE SAP number</t>
        </r>
      </text>
    </comment>
    <comment ref="X85" authorId="0" shapeId="0" xr:uid="{00000000-0006-0000-0900-000019000000}">
      <text>
        <r>
          <rPr>
            <b/>
            <sz val="8"/>
            <color indexed="81"/>
            <rFont val="Tahoma"/>
            <family val="2"/>
          </rPr>
          <t>lglasson:</t>
        </r>
        <r>
          <rPr>
            <sz val="8"/>
            <color indexed="81"/>
            <rFont val="Tahoma"/>
            <family val="2"/>
          </rPr>
          <t xml:space="preserve">
Compulsory Field.
dd.mm.yyyy</t>
        </r>
      </text>
    </comment>
    <comment ref="Y85" authorId="0" shapeId="0" xr:uid="{00000000-0006-0000-0900-00001A000000}">
      <text>
        <r>
          <rPr>
            <b/>
            <sz val="8"/>
            <color indexed="81"/>
            <rFont val="Tahoma"/>
            <family val="2"/>
          </rPr>
          <t>lglasson:</t>
        </r>
        <r>
          <rPr>
            <sz val="8"/>
            <color indexed="81"/>
            <rFont val="Tahoma"/>
            <family val="2"/>
          </rPr>
          <t xml:space="preserve">
Compulsory Field.
dd.mm.yyyy</t>
        </r>
      </text>
    </comment>
    <comment ref="Z85" authorId="0" shapeId="0" xr:uid="{00000000-0006-0000-0900-00001B000000}">
      <text>
        <r>
          <rPr>
            <b/>
            <sz val="8"/>
            <color indexed="81"/>
            <rFont val="Tahoma"/>
            <family val="2"/>
          </rPr>
          <t>lglasson:</t>
        </r>
        <r>
          <rPr>
            <sz val="8"/>
            <color indexed="81"/>
            <rFont val="Tahoma"/>
            <family val="2"/>
          </rPr>
          <t xml:space="preserve">
Up to 5 characters before numeric point</t>
        </r>
      </text>
    </comment>
    <comment ref="AA85" authorId="0" shapeId="0" xr:uid="{00000000-0006-0000-0900-00001C000000}">
      <text>
        <r>
          <rPr>
            <b/>
            <sz val="8"/>
            <color indexed="81"/>
            <rFont val="Tahoma"/>
            <family val="2"/>
          </rPr>
          <t>lglasson:</t>
        </r>
        <r>
          <rPr>
            <sz val="8"/>
            <color indexed="81"/>
            <rFont val="Tahoma"/>
            <family val="2"/>
          </rPr>
          <t xml:space="preserve">
Represents the amount entered into the wage type per pay period without any proration or any other client specific calculation</t>
        </r>
      </text>
    </comment>
    <comment ref="AB85" authorId="0" shapeId="0" xr:uid="{00000000-0006-0000-0900-00001D000000}">
      <text>
        <r>
          <rPr>
            <b/>
            <sz val="8"/>
            <color indexed="81"/>
            <rFont val="Tahoma"/>
            <family val="2"/>
          </rPr>
          <t>lglasson:</t>
        </r>
        <r>
          <rPr>
            <sz val="8"/>
            <color indexed="81"/>
            <rFont val="Tahoma"/>
            <family val="2"/>
          </rPr>
          <t xml:space="preserve">
Up to 5 characters before numeric point</t>
        </r>
      </text>
    </comment>
    <comment ref="AC85" authorId="0" shapeId="0" xr:uid="{00000000-0006-0000-0900-00001E000000}">
      <text>
        <r>
          <rPr>
            <b/>
            <sz val="8"/>
            <color indexed="81"/>
            <rFont val="Tahoma"/>
            <family val="2"/>
          </rPr>
          <t>lglasson:</t>
        </r>
        <r>
          <rPr>
            <sz val="8"/>
            <color indexed="81"/>
            <rFont val="Tahoma"/>
            <family val="2"/>
          </rPr>
          <t xml:space="preserve">
Inputs are:
Hours
Days
Weeks
Percent
Units
Months</t>
        </r>
      </text>
    </comment>
    <comment ref="H92" authorId="1" shapeId="0" xr:uid="{00000000-0006-0000-0900-00001F000000}">
      <text>
        <r>
          <rPr>
            <b/>
            <sz val="9"/>
            <color indexed="81"/>
            <rFont val="Tahoma"/>
            <family val="2"/>
          </rPr>
          <t>Insurance Salary is using Fix Ex. Rate for calculation</t>
        </r>
        <r>
          <rPr>
            <sz val="9"/>
            <color indexed="81"/>
            <rFont val="Tahoma"/>
            <family val="2"/>
          </rPr>
          <t xml:space="preserve">
</t>
        </r>
      </text>
    </comment>
    <comment ref="I92" authorId="1" shapeId="0" xr:uid="{00000000-0006-0000-0900-000020000000}">
      <text>
        <r>
          <rPr>
            <b/>
            <sz val="9"/>
            <color indexed="81"/>
            <rFont val="Tahoma"/>
            <family val="2"/>
          </rPr>
          <t>Insurance Salary is using Fix Ex. Rate for calculation</t>
        </r>
        <r>
          <rPr>
            <sz val="9"/>
            <color indexed="81"/>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lglasson</author>
    <author>Xia, Summer (ESI)</author>
    <author>Windows User</author>
  </authors>
  <commentList>
    <comment ref="W22" authorId="0" shapeId="0" xr:uid="{00000000-0006-0000-0A00-000001000000}">
      <text>
        <r>
          <rPr>
            <b/>
            <sz val="8"/>
            <color indexed="81"/>
            <rFont val="Tahoma"/>
            <family val="2"/>
          </rPr>
          <t>lglasson:</t>
        </r>
        <r>
          <rPr>
            <sz val="8"/>
            <color indexed="81"/>
            <rFont val="Tahoma"/>
            <family val="2"/>
          </rPr>
          <t xml:space="preserve">
Compulsory Field.
EE SAP number</t>
        </r>
      </text>
    </comment>
    <comment ref="X22" authorId="0" shapeId="0" xr:uid="{00000000-0006-0000-0A00-000002000000}">
      <text>
        <r>
          <rPr>
            <b/>
            <sz val="8"/>
            <color indexed="81"/>
            <rFont val="Tahoma"/>
            <family val="2"/>
          </rPr>
          <t>lglasson:</t>
        </r>
        <r>
          <rPr>
            <sz val="8"/>
            <color indexed="81"/>
            <rFont val="Tahoma"/>
            <family val="2"/>
          </rPr>
          <t xml:space="preserve">
Compulsory Field.
dd.mm.yyyy</t>
        </r>
      </text>
    </comment>
    <comment ref="Y22" authorId="0" shapeId="0" xr:uid="{00000000-0006-0000-0A00-000003000000}">
      <text>
        <r>
          <rPr>
            <b/>
            <sz val="8"/>
            <color indexed="81"/>
            <rFont val="Tahoma"/>
            <family val="2"/>
          </rPr>
          <t>lglasson:</t>
        </r>
        <r>
          <rPr>
            <sz val="8"/>
            <color indexed="81"/>
            <rFont val="Tahoma"/>
            <family val="2"/>
          </rPr>
          <t xml:space="preserve">
Compulsory Field.
dd.mm.yyyy</t>
        </r>
      </text>
    </comment>
    <comment ref="Z22" authorId="0" shapeId="0" xr:uid="{00000000-0006-0000-0A00-000004000000}">
      <text>
        <r>
          <rPr>
            <b/>
            <sz val="8"/>
            <color indexed="81"/>
            <rFont val="Tahoma"/>
            <family val="2"/>
          </rPr>
          <t>lglasson:</t>
        </r>
        <r>
          <rPr>
            <sz val="8"/>
            <color indexed="81"/>
            <rFont val="Tahoma"/>
            <family val="2"/>
          </rPr>
          <t xml:space="preserve">
Compulsory Field.
4 characters</t>
        </r>
      </text>
    </comment>
    <comment ref="AA22" authorId="0" shapeId="0" xr:uid="{00000000-0006-0000-0A00-000005000000}">
      <text>
        <r>
          <rPr>
            <b/>
            <sz val="8"/>
            <color indexed="81"/>
            <rFont val="Tahoma"/>
            <family val="2"/>
          </rPr>
          <t>lglasson:</t>
        </r>
        <r>
          <rPr>
            <sz val="8"/>
            <color indexed="81"/>
            <rFont val="Tahoma"/>
            <family val="2"/>
          </rPr>
          <t xml:space="preserve">
Represents the amount entered into the wage type per pay period without any proration or any other client specific calculation</t>
        </r>
      </text>
    </comment>
    <comment ref="AB22" authorId="0" shapeId="0" xr:uid="{00000000-0006-0000-0A00-000006000000}">
      <text>
        <r>
          <rPr>
            <b/>
            <sz val="8"/>
            <color indexed="81"/>
            <rFont val="Tahoma"/>
            <family val="2"/>
          </rPr>
          <t>lglasson:</t>
        </r>
        <r>
          <rPr>
            <sz val="8"/>
            <color indexed="81"/>
            <rFont val="Tahoma"/>
            <family val="2"/>
          </rPr>
          <t xml:space="preserve">
Up to 5 characters before numeric point</t>
        </r>
      </text>
    </comment>
    <comment ref="AC22" authorId="0" shapeId="0" xr:uid="{00000000-0006-0000-0A00-000007000000}">
      <text>
        <r>
          <rPr>
            <b/>
            <sz val="8"/>
            <color indexed="81"/>
            <rFont val="Tahoma"/>
            <family val="2"/>
          </rPr>
          <t>lglasson:</t>
        </r>
        <r>
          <rPr>
            <sz val="8"/>
            <color indexed="81"/>
            <rFont val="Tahoma"/>
            <family val="2"/>
          </rPr>
          <t xml:space="preserve">
Inputs are:
Hours
Days
Weeks
Percent
Units
Months</t>
        </r>
      </text>
    </comment>
    <comment ref="A23" authorId="0" shapeId="0" xr:uid="{00000000-0006-0000-0A00-000008000000}">
      <text>
        <r>
          <rPr>
            <b/>
            <sz val="8"/>
            <color indexed="81"/>
            <rFont val="Tahoma"/>
            <family val="2"/>
          </rPr>
          <t>lglasson:</t>
        </r>
        <r>
          <rPr>
            <sz val="8"/>
            <color indexed="81"/>
            <rFont val="Tahoma"/>
            <family val="2"/>
          </rPr>
          <t xml:space="preserve">
As per blueprint</t>
        </r>
      </text>
    </comment>
    <comment ref="H43" authorId="1" shapeId="0" xr:uid="{00000000-0006-0000-0A00-000009000000}">
      <text>
        <r>
          <rPr>
            <b/>
            <sz val="9"/>
            <color indexed="81"/>
            <rFont val="Tahoma"/>
            <family val="2"/>
          </rPr>
          <t>One of EE's DP is &lt; 18 yr old</t>
        </r>
        <r>
          <rPr>
            <sz val="9"/>
            <color indexed="81"/>
            <rFont val="Tahoma"/>
            <family val="2"/>
          </rPr>
          <t xml:space="preserve">
</t>
        </r>
      </text>
    </comment>
    <comment ref="A48" authorId="0" shapeId="0" xr:uid="{00000000-0006-0000-0A00-00000A000000}">
      <text>
        <r>
          <rPr>
            <b/>
            <sz val="8"/>
            <color indexed="81"/>
            <rFont val="Tahoma"/>
            <family val="2"/>
          </rPr>
          <t>lglasson:</t>
        </r>
        <r>
          <rPr>
            <sz val="8"/>
            <color indexed="81"/>
            <rFont val="Tahoma"/>
            <family val="2"/>
          </rPr>
          <t xml:space="preserve">
As per blueprint</t>
        </r>
      </text>
    </comment>
    <comment ref="A49" authorId="2" shapeId="0" xr:uid="{00000000-0006-0000-0A00-00000B000000}">
      <text>
        <r>
          <rPr>
            <b/>
            <sz val="9"/>
            <color indexed="81"/>
            <rFont val="Tahoma"/>
            <family val="2"/>
          </rPr>
          <t>Windows User:</t>
        </r>
        <r>
          <rPr>
            <sz val="9"/>
            <color indexed="81"/>
            <rFont val="Tahoma"/>
            <family val="2"/>
          </rPr>
          <t xml:space="preserve">
capping amount = 23,000,000</t>
        </r>
      </text>
    </comment>
    <comment ref="L49" authorId="1" shapeId="0" xr:uid="{00000000-0006-0000-0A00-00000C000000}">
      <text>
        <r>
          <rPr>
            <b/>
            <sz val="9"/>
            <color indexed="81"/>
            <rFont val="Tahoma"/>
            <family val="2"/>
          </rPr>
          <t>Insurance Base capped as 29,800,000</t>
        </r>
        <r>
          <rPr>
            <sz val="9"/>
            <color indexed="81"/>
            <rFont val="Tahoma"/>
            <family val="2"/>
          </rPr>
          <t xml:space="preserve">
</t>
        </r>
      </text>
    </comment>
    <comment ref="L50" authorId="1" shapeId="0" xr:uid="{00000000-0006-0000-0A00-00000D000000}">
      <text>
        <r>
          <rPr>
            <b/>
            <sz val="9"/>
            <color indexed="81"/>
            <rFont val="Tahoma"/>
            <family val="2"/>
          </rPr>
          <t>Insurance Base capped as 83,600,000</t>
        </r>
        <r>
          <rPr>
            <sz val="9"/>
            <color indexed="81"/>
            <rFont val="Tahoma"/>
            <family val="2"/>
          </rPr>
          <t xml:space="preserve">
</t>
        </r>
      </text>
    </comment>
    <comment ref="L51" authorId="1" shapeId="0" xr:uid="{00000000-0006-0000-0A00-00000E000000}">
      <text>
        <r>
          <rPr>
            <b/>
            <sz val="9"/>
            <color indexed="81"/>
            <rFont val="Tahoma"/>
            <family val="2"/>
          </rPr>
          <t>Insurance Base capped as 29,800,000</t>
        </r>
        <r>
          <rPr>
            <sz val="9"/>
            <color indexed="81"/>
            <rFont val="Tahoma"/>
            <family val="2"/>
          </rPr>
          <t xml:space="preserve">
</t>
        </r>
      </text>
    </comment>
    <comment ref="A63" authorId="2" shapeId="0" xr:uid="{00000000-0006-0000-0A00-00000F000000}">
      <text>
        <r>
          <rPr>
            <b/>
            <sz val="9"/>
            <color indexed="81"/>
            <rFont val="Tahoma"/>
            <family val="2"/>
          </rPr>
          <t>Windows User:</t>
        </r>
        <r>
          <rPr>
            <sz val="9"/>
            <color indexed="81"/>
            <rFont val="Tahoma"/>
            <family val="2"/>
          </rPr>
          <t xml:space="preserve">
capping amount = 23,000,000
</t>
        </r>
      </text>
    </comment>
    <comment ref="W73" authorId="0" shapeId="0" xr:uid="{00000000-0006-0000-0A00-000010000000}">
      <text>
        <r>
          <rPr>
            <b/>
            <sz val="8"/>
            <color indexed="81"/>
            <rFont val="Tahoma"/>
            <family val="2"/>
          </rPr>
          <t>lglasson:</t>
        </r>
        <r>
          <rPr>
            <sz val="8"/>
            <color indexed="81"/>
            <rFont val="Tahoma"/>
            <family val="2"/>
          </rPr>
          <t xml:space="preserve">
Compulsory Field.
EE SAP number</t>
        </r>
      </text>
    </comment>
    <comment ref="X73" authorId="0" shapeId="0" xr:uid="{00000000-0006-0000-0A00-000011000000}">
      <text>
        <r>
          <rPr>
            <b/>
            <sz val="8"/>
            <color indexed="81"/>
            <rFont val="Tahoma"/>
            <family val="2"/>
          </rPr>
          <t>lglasson:</t>
        </r>
        <r>
          <rPr>
            <sz val="8"/>
            <color indexed="81"/>
            <rFont val="Tahoma"/>
            <family val="2"/>
          </rPr>
          <t xml:space="preserve">
Compulsory Field.
dd.mm.yyyy</t>
        </r>
      </text>
    </comment>
    <comment ref="Y73" authorId="0" shapeId="0" xr:uid="{00000000-0006-0000-0A00-000012000000}">
      <text>
        <r>
          <rPr>
            <b/>
            <sz val="8"/>
            <color indexed="81"/>
            <rFont val="Tahoma"/>
            <family val="2"/>
          </rPr>
          <t>lglasson:</t>
        </r>
        <r>
          <rPr>
            <sz val="8"/>
            <color indexed="81"/>
            <rFont val="Tahoma"/>
            <family val="2"/>
          </rPr>
          <t xml:space="preserve">
Compulsory Field.
dd.mm.yyyy</t>
        </r>
      </text>
    </comment>
    <comment ref="Z73" authorId="0" shapeId="0" xr:uid="{00000000-0006-0000-0A00-000013000000}">
      <text>
        <r>
          <rPr>
            <b/>
            <sz val="8"/>
            <color indexed="81"/>
            <rFont val="Tahoma"/>
            <family val="2"/>
          </rPr>
          <t>lglasson:</t>
        </r>
        <r>
          <rPr>
            <sz val="8"/>
            <color indexed="81"/>
            <rFont val="Tahoma"/>
            <family val="2"/>
          </rPr>
          <t xml:space="preserve">
Compulsory Field.
4 characters</t>
        </r>
      </text>
    </comment>
    <comment ref="AA73" authorId="0" shapeId="0" xr:uid="{00000000-0006-0000-0A00-000014000000}">
      <text>
        <r>
          <rPr>
            <b/>
            <sz val="8"/>
            <color indexed="81"/>
            <rFont val="Tahoma"/>
            <family val="2"/>
          </rPr>
          <t>lglasson:</t>
        </r>
        <r>
          <rPr>
            <sz val="8"/>
            <color indexed="81"/>
            <rFont val="Tahoma"/>
            <family val="2"/>
          </rPr>
          <t xml:space="preserve">
Represents the amount entered into the wage type per pay period without any proration or any other client specific calculation</t>
        </r>
      </text>
    </comment>
    <comment ref="AB73" authorId="0" shapeId="0" xr:uid="{00000000-0006-0000-0A00-000015000000}">
      <text>
        <r>
          <rPr>
            <b/>
            <sz val="8"/>
            <color indexed="81"/>
            <rFont val="Tahoma"/>
            <family val="2"/>
          </rPr>
          <t>lglasson:</t>
        </r>
        <r>
          <rPr>
            <sz val="8"/>
            <color indexed="81"/>
            <rFont val="Tahoma"/>
            <family val="2"/>
          </rPr>
          <t xml:space="preserve">
Up to 5 characters before numeric point</t>
        </r>
      </text>
    </comment>
    <comment ref="AC73" authorId="0" shapeId="0" xr:uid="{00000000-0006-0000-0A00-000016000000}">
      <text>
        <r>
          <rPr>
            <b/>
            <sz val="8"/>
            <color indexed="81"/>
            <rFont val="Tahoma"/>
            <family val="2"/>
          </rPr>
          <t>lglasson:</t>
        </r>
        <r>
          <rPr>
            <sz val="8"/>
            <color indexed="81"/>
            <rFont val="Tahoma"/>
            <family val="2"/>
          </rPr>
          <t xml:space="preserve">
Inputs are:
Hours
Days
Weeks
Percent
Units
Months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lglasson</author>
    <author>Windows User</author>
  </authors>
  <commentList>
    <comment ref="W22" authorId="0" shapeId="0" xr:uid="{00000000-0006-0000-0B00-000001000000}">
      <text>
        <r>
          <rPr>
            <b/>
            <sz val="8"/>
            <color indexed="81"/>
            <rFont val="Tahoma"/>
            <family val="2"/>
          </rPr>
          <t>lglasson:</t>
        </r>
        <r>
          <rPr>
            <sz val="8"/>
            <color indexed="81"/>
            <rFont val="Tahoma"/>
            <family val="2"/>
          </rPr>
          <t xml:space="preserve">
Compulsory Field.
EE SAP number</t>
        </r>
      </text>
    </comment>
    <comment ref="X22" authorId="0" shapeId="0" xr:uid="{00000000-0006-0000-0B00-000002000000}">
      <text>
        <r>
          <rPr>
            <b/>
            <sz val="8"/>
            <color indexed="81"/>
            <rFont val="Tahoma"/>
            <family val="2"/>
          </rPr>
          <t>lglasson:</t>
        </r>
        <r>
          <rPr>
            <sz val="8"/>
            <color indexed="81"/>
            <rFont val="Tahoma"/>
            <family val="2"/>
          </rPr>
          <t xml:space="preserve">
Compulsory Field.
dd.mm.yyyy</t>
        </r>
      </text>
    </comment>
    <comment ref="Y22" authorId="0" shapeId="0" xr:uid="{00000000-0006-0000-0B00-000003000000}">
      <text>
        <r>
          <rPr>
            <b/>
            <sz val="8"/>
            <color indexed="81"/>
            <rFont val="Tahoma"/>
            <family val="2"/>
          </rPr>
          <t>lglasson:</t>
        </r>
        <r>
          <rPr>
            <sz val="8"/>
            <color indexed="81"/>
            <rFont val="Tahoma"/>
            <family val="2"/>
          </rPr>
          <t xml:space="preserve">
Compulsory Field.
dd.mm.yyyy</t>
        </r>
      </text>
    </comment>
    <comment ref="Z22" authorId="0" shapeId="0" xr:uid="{00000000-0006-0000-0B00-000004000000}">
      <text>
        <r>
          <rPr>
            <b/>
            <sz val="8"/>
            <color indexed="81"/>
            <rFont val="Tahoma"/>
            <family val="2"/>
          </rPr>
          <t>lglasson:</t>
        </r>
        <r>
          <rPr>
            <sz val="8"/>
            <color indexed="81"/>
            <rFont val="Tahoma"/>
            <family val="2"/>
          </rPr>
          <t xml:space="preserve">
Compulsory Field.
4 characters</t>
        </r>
      </text>
    </comment>
    <comment ref="AA22" authorId="0" shapeId="0" xr:uid="{00000000-0006-0000-0B00-000005000000}">
      <text>
        <r>
          <rPr>
            <b/>
            <sz val="8"/>
            <color indexed="81"/>
            <rFont val="Tahoma"/>
            <family val="2"/>
          </rPr>
          <t>lglasson:</t>
        </r>
        <r>
          <rPr>
            <sz val="8"/>
            <color indexed="81"/>
            <rFont val="Tahoma"/>
            <family val="2"/>
          </rPr>
          <t xml:space="preserve">
Represents the amount entered into the wage type per pay period without any proration or any other client specific calculation</t>
        </r>
      </text>
    </comment>
    <comment ref="AB22" authorId="0" shapeId="0" xr:uid="{00000000-0006-0000-0B00-000006000000}">
      <text>
        <r>
          <rPr>
            <b/>
            <sz val="8"/>
            <color indexed="81"/>
            <rFont val="Tahoma"/>
            <family val="2"/>
          </rPr>
          <t>lglasson:</t>
        </r>
        <r>
          <rPr>
            <sz val="8"/>
            <color indexed="81"/>
            <rFont val="Tahoma"/>
            <family val="2"/>
          </rPr>
          <t xml:space="preserve">
Up to 5 characters before numeric point</t>
        </r>
      </text>
    </comment>
    <comment ref="AC22" authorId="0" shapeId="0" xr:uid="{00000000-0006-0000-0B00-000007000000}">
      <text>
        <r>
          <rPr>
            <b/>
            <sz val="8"/>
            <color indexed="81"/>
            <rFont val="Tahoma"/>
            <family val="2"/>
          </rPr>
          <t>lglasson:</t>
        </r>
        <r>
          <rPr>
            <sz val="8"/>
            <color indexed="81"/>
            <rFont val="Tahoma"/>
            <family val="2"/>
          </rPr>
          <t xml:space="preserve">
Inputs are:
Hours
Days
Weeks
Percent
Units
Months</t>
        </r>
      </text>
    </comment>
    <comment ref="A23" authorId="0" shapeId="0" xr:uid="{00000000-0006-0000-0B00-000008000000}">
      <text>
        <r>
          <rPr>
            <b/>
            <sz val="8"/>
            <color indexed="81"/>
            <rFont val="Tahoma"/>
            <family val="2"/>
          </rPr>
          <t>lglasson:</t>
        </r>
        <r>
          <rPr>
            <sz val="8"/>
            <color indexed="81"/>
            <rFont val="Tahoma"/>
            <family val="2"/>
          </rPr>
          <t xml:space="preserve">
As per blueprint</t>
        </r>
      </text>
    </comment>
    <comment ref="A47" authorId="0" shapeId="0" xr:uid="{00000000-0006-0000-0B00-000009000000}">
      <text>
        <r>
          <rPr>
            <b/>
            <sz val="8"/>
            <color indexed="81"/>
            <rFont val="Tahoma"/>
            <family val="2"/>
          </rPr>
          <t>lglasson:</t>
        </r>
        <r>
          <rPr>
            <sz val="8"/>
            <color indexed="81"/>
            <rFont val="Tahoma"/>
            <family val="2"/>
          </rPr>
          <t xml:space="preserve">
As per blueprint</t>
        </r>
      </text>
    </comment>
    <comment ref="A48" authorId="1" shapeId="0" xr:uid="{00000000-0006-0000-0B00-00000A000000}">
      <text>
        <r>
          <rPr>
            <b/>
            <sz val="9"/>
            <color indexed="81"/>
            <rFont val="Tahoma"/>
            <family val="2"/>
          </rPr>
          <t>Windows User:</t>
        </r>
        <r>
          <rPr>
            <sz val="9"/>
            <color indexed="81"/>
            <rFont val="Tahoma"/>
            <family val="2"/>
          </rPr>
          <t xml:space="preserve">
capping amount = 23,000,000</t>
        </r>
      </text>
    </comment>
    <comment ref="A68" authorId="1" shapeId="0" xr:uid="{00000000-0006-0000-0B00-00000B000000}">
      <text>
        <r>
          <rPr>
            <b/>
            <sz val="9"/>
            <color indexed="81"/>
            <rFont val="Tahoma"/>
            <family val="2"/>
          </rPr>
          <t>Windows User:</t>
        </r>
        <r>
          <rPr>
            <sz val="9"/>
            <color indexed="81"/>
            <rFont val="Tahoma"/>
            <family val="2"/>
          </rPr>
          <t xml:space="preserve">
capping amount = 23,000,000
</t>
        </r>
      </text>
    </comment>
    <comment ref="W76" authorId="0" shapeId="0" xr:uid="{00000000-0006-0000-0B00-00000C000000}">
      <text>
        <r>
          <rPr>
            <b/>
            <sz val="8"/>
            <color indexed="81"/>
            <rFont val="Tahoma"/>
            <family val="2"/>
          </rPr>
          <t>lglasson:</t>
        </r>
        <r>
          <rPr>
            <sz val="8"/>
            <color indexed="81"/>
            <rFont val="Tahoma"/>
            <family val="2"/>
          </rPr>
          <t xml:space="preserve">
Compulsory Field.
EE SAP number</t>
        </r>
      </text>
    </comment>
    <comment ref="X76" authorId="0" shapeId="0" xr:uid="{00000000-0006-0000-0B00-00000D000000}">
      <text>
        <r>
          <rPr>
            <b/>
            <sz val="8"/>
            <color indexed="81"/>
            <rFont val="Tahoma"/>
            <family val="2"/>
          </rPr>
          <t>lglasson:</t>
        </r>
        <r>
          <rPr>
            <sz val="8"/>
            <color indexed="81"/>
            <rFont val="Tahoma"/>
            <family val="2"/>
          </rPr>
          <t xml:space="preserve">
Compulsory Field.
dd.mm.yyyy</t>
        </r>
      </text>
    </comment>
    <comment ref="Y76" authorId="0" shapeId="0" xr:uid="{00000000-0006-0000-0B00-00000E000000}">
      <text>
        <r>
          <rPr>
            <b/>
            <sz val="8"/>
            <color indexed="81"/>
            <rFont val="Tahoma"/>
            <family val="2"/>
          </rPr>
          <t>lglasson:</t>
        </r>
        <r>
          <rPr>
            <sz val="8"/>
            <color indexed="81"/>
            <rFont val="Tahoma"/>
            <family val="2"/>
          </rPr>
          <t xml:space="preserve">
Compulsory Field.
dd.mm.yyyy</t>
        </r>
      </text>
    </comment>
    <comment ref="Z76" authorId="0" shapeId="0" xr:uid="{00000000-0006-0000-0B00-00000F000000}">
      <text>
        <r>
          <rPr>
            <b/>
            <sz val="8"/>
            <color indexed="81"/>
            <rFont val="Tahoma"/>
            <family val="2"/>
          </rPr>
          <t>lglasson:</t>
        </r>
        <r>
          <rPr>
            <sz val="8"/>
            <color indexed="81"/>
            <rFont val="Tahoma"/>
            <family val="2"/>
          </rPr>
          <t xml:space="preserve">
Compulsory Field.
4 characters</t>
        </r>
      </text>
    </comment>
    <comment ref="AA76" authorId="0" shapeId="0" xr:uid="{00000000-0006-0000-0B00-000010000000}">
      <text>
        <r>
          <rPr>
            <b/>
            <sz val="8"/>
            <color indexed="81"/>
            <rFont val="Tahoma"/>
            <family val="2"/>
          </rPr>
          <t>lglasson:</t>
        </r>
        <r>
          <rPr>
            <sz val="8"/>
            <color indexed="81"/>
            <rFont val="Tahoma"/>
            <family val="2"/>
          </rPr>
          <t xml:space="preserve">
Represents the amount entered into the wage type per pay period without any proration or any other client specific calculation</t>
        </r>
      </text>
    </comment>
    <comment ref="AB76" authorId="0" shapeId="0" xr:uid="{00000000-0006-0000-0B00-000011000000}">
      <text>
        <r>
          <rPr>
            <b/>
            <sz val="8"/>
            <color indexed="81"/>
            <rFont val="Tahoma"/>
            <family val="2"/>
          </rPr>
          <t>lglasson:</t>
        </r>
        <r>
          <rPr>
            <sz val="8"/>
            <color indexed="81"/>
            <rFont val="Tahoma"/>
            <family val="2"/>
          </rPr>
          <t xml:space="preserve">
Up to 5 characters before numeric point</t>
        </r>
      </text>
    </comment>
    <comment ref="AC76" authorId="0" shapeId="0" xr:uid="{00000000-0006-0000-0B00-000012000000}">
      <text>
        <r>
          <rPr>
            <b/>
            <sz val="8"/>
            <color indexed="81"/>
            <rFont val="Tahoma"/>
            <family val="2"/>
          </rPr>
          <t>lglasson:</t>
        </r>
        <r>
          <rPr>
            <sz val="8"/>
            <color indexed="81"/>
            <rFont val="Tahoma"/>
            <family val="2"/>
          </rPr>
          <t xml:space="preserve">
Inputs are:
Hours
Days
Weeks
Percent
Units
Months</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lglasson</author>
    <author>Windows User</author>
  </authors>
  <commentList>
    <comment ref="W22" authorId="0" shapeId="0" xr:uid="{00000000-0006-0000-0C00-000001000000}">
      <text>
        <r>
          <rPr>
            <b/>
            <sz val="8"/>
            <color indexed="81"/>
            <rFont val="Tahoma"/>
            <family val="2"/>
          </rPr>
          <t>lglasson:</t>
        </r>
        <r>
          <rPr>
            <sz val="8"/>
            <color indexed="81"/>
            <rFont val="Tahoma"/>
            <family val="2"/>
          </rPr>
          <t xml:space="preserve">
Compulsory Field.
EE SAP number</t>
        </r>
      </text>
    </comment>
    <comment ref="X22" authorId="0" shapeId="0" xr:uid="{00000000-0006-0000-0C00-000002000000}">
      <text>
        <r>
          <rPr>
            <b/>
            <sz val="8"/>
            <color indexed="81"/>
            <rFont val="Tahoma"/>
            <family val="2"/>
          </rPr>
          <t>lglasson:</t>
        </r>
        <r>
          <rPr>
            <sz val="8"/>
            <color indexed="81"/>
            <rFont val="Tahoma"/>
            <family val="2"/>
          </rPr>
          <t xml:space="preserve">
Compulsory Field.
dd.mm.yyyy</t>
        </r>
      </text>
    </comment>
    <comment ref="Y22" authorId="0" shapeId="0" xr:uid="{00000000-0006-0000-0C00-000003000000}">
      <text>
        <r>
          <rPr>
            <b/>
            <sz val="8"/>
            <color indexed="81"/>
            <rFont val="Tahoma"/>
            <family val="2"/>
          </rPr>
          <t>lglasson:</t>
        </r>
        <r>
          <rPr>
            <sz val="8"/>
            <color indexed="81"/>
            <rFont val="Tahoma"/>
            <family val="2"/>
          </rPr>
          <t xml:space="preserve">
Compulsory Field.
dd.mm.yyyy</t>
        </r>
      </text>
    </comment>
    <comment ref="Z22" authorId="0" shapeId="0" xr:uid="{00000000-0006-0000-0C00-000004000000}">
      <text>
        <r>
          <rPr>
            <b/>
            <sz val="8"/>
            <color indexed="81"/>
            <rFont val="Tahoma"/>
            <family val="2"/>
          </rPr>
          <t>lglasson:</t>
        </r>
        <r>
          <rPr>
            <sz val="8"/>
            <color indexed="81"/>
            <rFont val="Tahoma"/>
            <family val="2"/>
          </rPr>
          <t xml:space="preserve">
Compulsory Field.
4 characters</t>
        </r>
      </text>
    </comment>
    <comment ref="AA22" authorId="0" shapeId="0" xr:uid="{00000000-0006-0000-0C00-000005000000}">
      <text>
        <r>
          <rPr>
            <b/>
            <sz val="8"/>
            <color indexed="81"/>
            <rFont val="Tahoma"/>
            <family val="2"/>
          </rPr>
          <t>lglasson:</t>
        </r>
        <r>
          <rPr>
            <sz val="8"/>
            <color indexed="81"/>
            <rFont val="Tahoma"/>
            <family val="2"/>
          </rPr>
          <t xml:space="preserve">
Represents the amount entered into the wage type per pay period without any proration or any other client specific calculation</t>
        </r>
      </text>
    </comment>
    <comment ref="AB22" authorId="0" shapeId="0" xr:uid="{00000000-0006-0000-0C00-000006000000}">
      <text>
        <r>
          <rPr>
            <b/>
            <sz val="8"/>
            <color indexed="81"/>
            <rFont val="Tahoma"/>
            <family val="2"/>
          </rPr>
          <t>lglasson:</t>
        </r>
        <r>
          <rPr>
            <sz val="8"/>
            <color indexed="81"/>
            <rFont val="Tahoma"/>
            <family val="2"/>
          </rPr>
          <t xml:space="preserve">
Up to 5 characters before numeric point</t>
        </r>
      </text>
    </comment>
    <comment ref="AC22" authorId="0" shapeId="0" xr:uid="{00000000-0006-0000-0C00-000007000000}">
      <text>
        <r>
          <rPr>
            <b/>
            <sz val="8"/>
            <color indexed="81"/>
            <rFont val="Tahoma"/>
            <family val="2"/>
          </rPr>
          <t>lglasson:</t>
        </r>
        <r>
          <rPr>
            <sz val="8"/>
            <color indexed="81"/>
            <rFont val="Tahoma"/>
            <family val="2"/>
          </rPr>
          <t xml:space="preserve">
Inputs are:
Hours
Days
Weeks
Percent
Units
Months</t>
        </r>
      </text>
    </comment>
    <comment ref="A23" authorId="0" shapeId="0" xr:uid="{00000000-0006-0000-0C00-000008000000}">
      <text>
        <r>
          <rPr>
            <b/>
            <sz val="8"/>
            <color indexed="81"/>
            <rFont val="Tahoma"/>
            <family val="2"/>
          </rPr>
          <t>lglasson:</t>
        </r>
        <r>
          <rPr>
            <sz val="8"/>
            <color indexed="81"/>
            <rFont val="Tahoma"/>
            <family val="2"/>
          </rPr>
          <t xml:space="preserve">
As per blueprint</t>
        </r>
      </text>
    </comment>
    <comment ref="A35" authorId="0" shapeId="0" xr:uid="{00000000-0006-0000-0C00-000009000000}">
      <text>
        <r>
          <rPr>
            <b/>
            <sz val="8"/>
            <color indexed="81"/>
            <rFont val="Tahoma"/>
            <family val="2"/>
          </rPr>
          <t>lglasson:</t>
        </r>
        <r>
          <rPr>
            <sz val="8"/>
            <color indexed="81"/>
            <rFont val="Tahoma"/>
            <family val="2"/>
          </rPr>
          <t xml:space="preserve">
As per blueprint</t>
        </r>
      </text>
    </comment>
    <comment ref="A36" authorId="1" shapeId="0" xr:uid="{00000000-0006-0000-0C00-00000A000000}">
      <text>
        <r>
          <rPr>
            <b/>
            <sz val="9"/>
            <color indexed="81"/>
            <rFont val="Tahoma"/>
            <family val="2"/>
          </rPr>
          <t>Windows User:</t>
        </r>
        <r>
          <rPr>
            <sz val="9"/>
            <color indexed="81"/>
            <rFont val="Tahoma"/>
            <family val="2"/>
          </rPr>
          <t xml:space="preserve">
capping amount = 23,000,000</t>
        </r>
      </text>
    </comment>
    <comment ref="W43" authorId="0" shapeId="0" xr:uid="{00000000-0006-0000-0C00-00000C000000}">
      <text>
        <r>
          <rPr>
            <b/>
            <sz val="8"/>
            <color indexed="81"/>
            <rFont val="Tahoma"/>
            <family val="2"/>
          </rPr>
          <t>lglasson:</t>
        </r>
        <r>
          <rPr>
            <sz val="8"/>
            <color indexed="81"/>
            <rFont val="Tahoma"/>
            <family val="2"/>
          </rPr>
          <t xml:space="preserve">
Compulsory Field.
EE SAP number</t>
        </r>
      </text>
    </comment>
    <comment ref="X43" authorId="0" shapeId="0" xr:uid="{00000000-0006-0000-0C00-00000D000000}">
      <text>
        <r>
          <rPr>
            <b/>
            <sz val="8"/>
            <color indexed="81"/>
            <rFont val="Tahoma"/>
            <family val="2"/>
          </rPr>
          <t>lglasson:</t>
        </r>
        <r>
          <rPr>
            <sz val="8"/>
            <color indexed="81"/>
            <rFont val="Tahoma"/>
            <family val="2"/>
          </rPr>
          <t xml:space="preserve">
Compulsory Field.
dd.mm.yyyy</t>
        </r>
      </text>
    </comment>
    <comment ref="Y43" authorId="0" shapeId="0" xr:uid="{00000000-0006-0000-0C00-00000E000000}">
      <text>
        <r>
          <rPr>
            <b/>
            <sz val="8"/>
            <color indexed="81"/>
            <rFont val="Tahoma"/>
            <family val="2"/>
          </rPr>
          <t>lglasson:</t>
        </r>
        <r>
          <rPr>
            <sz val="8"/>
            <color indexed="81"/>
            <rFont val="Tahoma"/>
            <family val="2"/>
          </rPr>
          <t xml:space="preserve">
Compulsory Field.
dd.mm.yyyy</t>
        </r>
      </text>
    </comment>
    <comment ref="Z43" authorId="0" shapeId="0" xr:uid="{00000000-0006-0000-0C00-00000F000000}">
      <text>
        <r>
          <rPr>
            <b/>
            <sz val="8"/>
            <color indexed="81"/>
            <rFont val="Tahoma"/>
            <family val="2"/>
          </rPr>
          <t>lglasson:</t>
        </r>
        <r>
          <rPr>
            <sz val="8"/>
            <color indexed="81"/>
            <rFont val="Tahoma"/>
            <family val="2"/>
          </rPr>
          <t xml:space="preserve">
Compulsory Field.
4 characters</t>
        </r>
      </text>
    </comment>
    <comment ref="AA43" authorId="0" shapeId="0" xr:uid="{00000000-0006-0000-0C00-000010000000}">
      <text>
        <r>
          <rPr>
            <b/>
            <sz val="8"/>
            <color indexed="81"/>
            <rFont val="Tahoma"/>
            <family val="2"/>
          </rPr>
          <t>lglasson:</t>
        </r>
        <r>
          <rPr>
            <sz val="8"/>
            <color indexed="81"/>
            <rFont val="Tahoma"/>
            <family val="2"/>
          </rPr>
          <t xml:space="preserve">
Represents the amount entered into the wage type per pay period without any proration or any other client specific calculation</t>
        </r>
      </text>
    </comment>
    <comment ref="AB43" authorId="0" shapeId="0" xr:uid="{00000000-0006-0000-0C00-000011000000}">
      <text>
        <r>
          <rPr>
            <b/>
            <sz val="8"/>
            <color indexed="81"/>
            <rFont val="Tahoma"/>
            <family val="2"/>
          </rPr>
          <t>lglasson:</t>
        </r>
        <r>
          <rPr>
            <sz val="8"/>
            <color indexed="81"/>
            <rFont val="Tahoma"/>
            <family val="2"/>
          </rPr>
          <t xml:space="preserve">
Up to 5 characters before numeric point</t>
        </r>
      </text>
    </comment>
    <comment ref="AC43" authorId="0" shapeId="0" xr:uid="{00000000-0006-0000-0C00-000012000000}">
      <text>
        <r>
          <rPr>
            <b/>
            <sz val="8"/>
            <color indexed="81"/>
            <rFont val="Tahoma"/>
            <family val="2"/>
          </rPr>
          <t>lglasson:</t>
        </r>
        <r>
          <rPr>
            <sz val="8"/>
            <color indexed="81"/>
            <rFont val="Tahoma"/>
            <family val="2"/>
          </rPr>
          <t xml:space="preserve">
Inputs are:
Hours
Days
Weeks
Percent
Units
Months</t>
        </r>
      </text>
    </comment>
    <comment ref="A51" authorId="1" shapeId="0" xr:uid="{00000000-0006-0000-0C00-00000B000000}">
      <text>
        <r>
          <rPr>
            <b/>
            <sz val="9"/>
            <color indexed="81"/>
            <rFont val="Tahoma"/>
            <family val="2"/>
          </rPr>
          <t>Windows User:</t>
        </r>
        <r>
          <rPr>
            <sz val="9"/>
            <color indexed="81"/>
            <rFont val="Tahoma"/>
            <family val="2"/>
          </rPr>
          <t xml:space="preserve">
capping amount = 23,000,000
</t>
        </r>
      </text>
    </comment>
  </commentList>
</comments>
</file>

<file path=xl/sharedStrings.xml><?xml version="1.0" encoding="utf-8"?>
<sst xmlns="http://schemas.openxmlformats.org/spreadsheetml/2006/main" count="7465" uniqueCount="1472">
  <si>
    <t>0015</t>
  </si>
  <si>
    <t>0008</t>
  </si>
  <si>
    <t>0014</t>
  </si>
  <si>
    <t>EE Group</t>
  </si>
  <si>
    <t>Total Deductions</t>
  </si>
  <si>
    <t>NET PAY</t>
  </si>
  <si>
    <t>ADP User Acceptance Testing</t>
  </si>
  <si>
    <t>SAP Field</t>
  </si>
  <si>
    <t>Personnel  Area</t>
  </si>
  <si>
    <t>EE Subgroup</t>
  </si>
  <si>
    <t>Pers Subarea</t>
  </si>
  <si>
    <t>Payroll Area</t>
  </si>
  <si>
    <t>Position</t>
  </si>
  <si>
    <t>Form of addr</t>
  </si>
  <si>
    <t>Last Name</t>
  </si>
  <si>
    <t>First Name</t>
  </si>
  <si>
    <t>Nationality</t>
  </si>
  <si>
    <t>W/Sch. Rule</t>
  </si>
  <si>
    <t>Wage Type 01</t>
  </si>
  <si>
    <t>Amount 01</t>
  </si>
  <si>
    <t>Bank Key</t>
  </si>
  <si>
    <t>Acc. Number</t>
  </si>
  <si>
    <t>Date 01</t>
  </si>
  <si>
    <t>ID Number</t>
  </si>
  <si>
    <t>Abs. Type 1</t>
  </si>
  <si>
    <t>Start Date 1</t>
  </si>
  <si>
    <t>End Date 1</t>
  </si>
  <si>
    <t>Abs. Type 2</t>
  </si>
  <si>
    <t>Start Date 2</t>
  </si>
  <si>
    <t>End Date 2</t>
  </si>
  <si>
    <t>Abs. Type 3</t>
  </si>
  <si>
    <t>Start Date 3</t>
  </si>
  <si>
    <t>End Date 3</t>
  </si>
  <si>
    <t>Info Type No</t>
  </si>
  <si>
    <t>EE No. 1</t>
  </si>
  <si>
    <t>EE No. 2</t>
  </si>
  <si>
    <t>EE No. 3</t>
  </si>
  <si>
    <t>EE No. 4</t>
  </si>
  <si>
    <t>EE No. 5</t>
  </si>
  <si>
    <t>EE No. 6</t>
  </si>
  <si>
    <t>EE No. 7</t>
  </si>
  <si>
    <t>EE No. 8</t>
  </si>
  <si>
    <t>EE No. 9</t>
  </si>
  <si>
    <t>EE No. 10</t>
  </si>
  <si>
    <t>EE No. 11</t>
  </si>
  <si>
    <t>EE No. 12</t>
  </si>
  <si>
    <t>EE No. 13</t>
  </si>
  <si>
    <t>EE No. 14</t>
  </si>
  <si>
    <t>Company Code</t>
  </si>
  <si>
    <t>0007</t>
  </si>
  <si>
    <t>0009</t>
  </si>
  <si>
    <t>0185</t>
  </si>
  <si>
    <t>Expected Results</t>
  </si>
  <si>
    <t>EE Payments</t>
  </si>
  <si>
    <t>Amnt P/M</t>
  </si>
  <si>
    <t>Wage Type Description</t>
  </si>
  <si>
    <t>Wage Type</t>
  </si>
  <si>
    <t>Info Type</t>
  </si>
  <si>
    <t>Number</t>
  </si>
  <si>
    <t>Unit</t>
  </si>
  <si>
    <t>EE Deductions</t>
  </si>
  <si>
    <t>Total Payments</t>
  </si>
  <si>
    <t>Employer Information</t>
  </si>
  <si>
    <t>EE Notational Details</t>
  </si>
  <si>
    <t>Year Tested</t>
  </si>
  <si>
    <t>Test Input</t>
  </si>
  <si>
    <t>New Hire Information &amp; Test Input</t>
  </si>
  <si>
    <t>EE Number</t>
  </si>
  <si>
    <t>Enter test data relating to IT0014</t>
  </si>
  <si>
    <t>Start Date</t>
  </si>
  <si>
    <t>End Date</t>
  </si>
  <si>
    <t>Amount</t>
  </si>
  <si>
    <t>Time Mgmt</t>
  </si>
  <si>
    <t>Pay Method</t>
  </si>
  <si>
    <t>Date Type 02</t>
  </si>
  <si>
    <t>Date Type 01</t>
  </si>
  <si>
    <t>Date 02</t>
  </si>
  <si>
    <t>Date Type 03</t>
  </si>
  <si>
    <t>Date 03</t>
  </si>
  <si>
    <t>Employee ID</t>
  </si>
  <si>
    <t>City</t>
  </si>
  <si>
    <t>0006</t>
  </si>
  <si>
    <t>Address Type</t>
  </si>
  <si>
    <t>Nhire (0001)</t>
  </si>
  <si>
    <t>Nhire (0002)</t>
  </si>
  <si>
    <t>Nhire (0041)</t>
  </si>
  <si>
    <t>Nhire (0000)</t>
  </si>
  <si>
    <t>Gender Key</t>
  </si>
  <si>
    <t>Date of Birth</t>
  </si>
  <si>
    <t>Type of ID</t>
  </si>
  <si>
    <t>Monthly Specific Entry Only</t>
  </si>
  <si>
    <t>Authored</t>
  </si>
  <si>
    <t>Approved</t>
  </si>
  <si>
    <t>Next Review Date</t>
  </si>
  <si>
    <t>Version</t>
  </si>
  <si>
    <t>Date</t>
  </si>
  <si>
    <t>Amendment Details</t>
  </si>
  <si>
    <t>Comment</t>
  </si>
  <si>
    <t>VERSION CONTROL</t>
  </si>
  <si>
    <t>Initial Draft released to Client</t>
  </si>
  <si>
    <t>WAGETYPE LOCATION - Where and When being Tested</t>
  </si>
  <si>
    <t>WageType Code</t>
  </si>
  <si>
    <t>WageType Text</t>
  </si>
  <si>
    <t>Infotype</t>
  </si>
  <si>
    <t>Payroll Period</t>
  </si>
  <si>
    <t>Tested - Description</t>
  </si>
  <si>
    <t>Payment</t>
  </si>
  <si>
    <t>Dependants</t>
  </si>
  <si>
    <t>SI Unemployment</t>
  </si>
  <si>
    <t>SI Health Isurance</t>
  </si>
  <si>
    <t>Vietnam</t>
  </si>
  <si>
    <t>/400 Taxation</t>
  </si>
  <si>
    <t>0021</t>
  </si>
  <si>
    <t>/492 Dependant Tax Exemption</t>
  </si>
  <si>
    <t>/491 EE Personal Tax Exemption</t>
  </si>
  <si>
    <t>Client</t>
  </si>
  <si>
    <t>Country</t>
  </si>
  <si>
    <t>ADP Tester</t>
  </si>
  <si>
    <t>Document Reference</t>
  </si>
  <si>
    <t>Testing of New Hires, Proration and Info Types 0008 and 0014</t>
  </si>
  <si>
    <t>Adobe® is a registered trademark and Acrobat(TM) is a trademark of Adobe Systems Incorporated. 
Microsoft®, Windows®, Internet Explorer®, Word®, and Excel® are registered trademarks of Microsoft Corporation.
SAP® and SAP® R/3® are registered trademarks of SAP AG in Germany and in several other countries.
All other trademarks and service marks are the property of their respective owners.</t>
  </si>
  <si>
    <t>Third-Party Trademarks</t>
  </si>
  <si>
    <t>Copyright and Confidentiality</t>
  </si>
  <si>
    <t xml:space="preserve">CRM ticket </t>
  </si>
  <si>
    <t>Amendments and Authorizations</t>
  </si>
  <si>
    <t>24/10/2011
Cherie Manarch
GVAA0036</t>
  </si>
  <si>
    <t>2016/02/02
Cherie Manarch
GVAA0036</t>
  </si>
  <si>
    <t>2016/02/02
Roy Wynes</t>
  </si>
  <si>
    <r>
      <t>Copyright © 2011, 2016 ADP, LLC. ADP Proprietary and Confidential - All Rights Reserved. These materials may not be reproduced in any format without the express written permission of ADP, LLC. This document must be kept strictly confidential at all times. It must not be disclosed to any person without the prior written consent of ADP, LLC. 
ADP provides this publication "as is" without warranty of any kind, either express or implied, including, but not limited to, the implied warranties of merchantability or fitness for a particular purpose. ADP is not responsible for any technical inaccuracies or typographical errors which may be contained in this publication. Changes are periodically made to the information herein, and such changes will be incorporated in new editions of this publication. ADP may make improvements and/or changes in the product and/or the programs described in this publication at any time without notice.
The ADP® logo and ADP® letters are registered trademarks of ADP, LLC. GlobalView® is a registered trademark of ADP, LLC. iLearn@ADP® is a registered trademark of ADP, LLC. ADP A more human resource</t>
    </r>
    <r>
      <rPr>
        <vertAlign val="superscript"/>
        <sz val="8"/>
        <color theme="1"/>
        <rFont val="Arial"/>
        <family val="2"/>
      </rPr>
      <t>(SM)</t>
    </r>
    <r>
      <rPr>
        <sz val="8"/>
        <rFont val="Arial"/>
        <family val="2"/>
      </rPr>
      <t>. is a service mark of ADP, LLC.</t>
    </r>
  </si>
  <si>
    <t>GV00009475</t>
  </si>
  <si>
    <t>Diana Hope
GVAA0188</t>
  </si>
  <si>
    <t>cyclestatus</t>
  </si>
  <si>
    <t>crmstatus</t>
  </si>
  <si>
    <t>UAT Period</t>
  </si>
  <si>
    <t>Status</t>
  </si>
  <si>
    <t>Planned</t>
  </si>
  <si>
    <t>Actual</t>
  </si>
  <si>
    <t>CRM Ticket No.</t>
  </si>
  <si>
    <t>CRM Status</t>
  </si>
  <si>
    <t>Not Started</t>
  </si>
  <si>
    <t>OPEN</t>
  </si>
  <si>
    <t>In Progress</t>
  </si>
  <si>
    <t>CLOSED</t>
  </si>
  <si>
    <t>Completed</t>
  </si>
  <si>
    <t xml:space="preserve">Cycle </t>
  </si>
  <si>
    <t xml:space="preserve">Period </t>
  </si>
  <si>
    <t>Cycle Status</t>
  </si>
  <si>
    <t>Release (Date)</t>
  </si>
  <si>
    <t>Sign Off (Date)</t>
  </si>
  <si>
    <t xml:space="preserve">Days </t>
  </si>
  <si>
    <t xml:space="preserve">Trial </t>
  </si>
  <si>
    <t>Release (Time)</t>
  </si>
  <si>
    <t>Sign Off (Time)</t>
  </si>
  <si>
    <t>Conditional  Y / N</t>
  </si>
  <si>
    <t>UAT1</t>
  </si>
  <si>
    <t>JAN</t>
  </si>
  <si>
    <t>UAT2</t>
  </si>
  <si>
    <t>FEB</t>
  </si>
  <si>
    <t>UAT3</t>
  </si>
  <si>
    <t>MAR</t>
  </si>
  <si>
    <t>UAT4</t>
  </si>
  <si>
    <t>APR</t>
  </si>
  <si>
    <t>UAT5</t>
  </si>
  <si>
    <t>MAY</t>
  </si>
  <si>
    <t>UAT6</t>
  </si>
  <si>
    <t>JUN</t>
  </si>
  <si>
    <t>UAT7</t>
  </si>
  <si>
    <t>JUL</t>
  </si>
  <si>
    <t>UAT8</t>
  </si>
  <si>
    <t>AUG</t>
  </si>
  <si>
    <t>UAT9</t>
  </si>
  <si>
    <t>SEP</t>
  </si>
  <si>
    <t>UAT10</t>
  </si>
  <si>
    <t>OCT</t>
  </si>
  <si>
    <t>UAT11</t>
  </si>
  <si>
    <t>NOV</t>
  </si>
  <si>
    <t>UAT12</t>
  </si>
  <si>
    <t>DEC</t>
  </si>
  <si>
    <t>issuecat</t>
  </si>
  <si>
    <t>issstatus</t>
  </si>
  <si>
    <t>Config</t>
  </si>
  <si>
    <t xml:space="preserve">Open </t>
  </si>
  <si>
    <t>Clarification</t>
  </si>
  <si>
    <t>Closed</t>
  </si>
  <si>
    <t>Issue Log No.</t>
  </si>
  <si>
    <t>Date Raised</t>
  </si>
  <si>
    <t>Cycle</t>
  </si>
  <si>
    <t>Period</t>
  </si>
  <si>
    <t>Short Description</t>
  </si>
  <si>
    <t>Category</t>
  </si>
  <si>
    <t xml:space="preserve">Status </t>
  </si>
  <si>
    <t xml:space="preserve">Owner </t>
  </si>
  <si>
    <t>Detailed Description</t>
  </si>
  <si>
    <t>Change Request Y/N</t>
  </si>
  <si>
    <t xml:space="preserve">Date Issue Resolved/Closed </t>
  </si>
  <si>
    <t>New Request CR</t>
  </si>
  <si>
    <t>Jan</t>
  </si>
  <si>
    <t>N</t>
  </si>
  <si>
    <t>Master Data</t>
  </si>
  <si>
    <t>Other</t>
  </si>
  <si>
    <t>Index List</t>
  </si>
  <si>
    <t>indexcategory</t>
  </si>
  <si>
    <t>Sc.No.</t>
  </si>
  <si>
    <t>MD</t>
  </si>
  <si>
    <t>TRN</t>
  </si>
  <si>
    <t>Active EEs</t>
  </si>
  <si>
    <t>X</t>
  </si>
  <si>
    <t>ERInf-Accr</t>
  </si>
  <si>
    <t>MasterData Assign start date early in month</t>
  </si>
  <si>
    <t>RPT</t>
  </si>
  <si>
    <t>MasterData Assign start date mid month</t>
  </si>
  <si>
    <t>MasterData Assign start date late in month</t>
  </si>
  <si>
    <t>MasterData Assign Basic Pay - IT0008  Salary, Weekly Hrly,  Casual Hrly etc</t>
  </si>
  <si>
    <t>MasterData Assign Company Codes - IT0001</t>
  </si>
  <si>
    <t>MasterData Assign Personal Areas - IT0001</t>
  </si>
  <si>
    <t>MasterData Assign Personal Sub Areas - IT0001</t>
  </si>
  <si>
    <t>MasterData Assign EE Group Structure IT0001 - Perm, Temp, FullTime, Casual, Inpat, Expat</t>
  </si>
  <si>
    <t>MasterData Assign EE Sub Group - IT0001 controls wage type, wrk Schedule, time quota etc</t>
  </si>
  <si>
    <t>MasterData Assign Main Bank Account with "T" Transfer - IT0009</t>
  </si>
  <si>
    <t>MasterData Assign Work Schedules: - IT0007 incorps Holiday Calendar</t>
  </si>
  <si>
    <t>MasterData Assign Dates - IT0041 eg Country Hire date, Company Hire Date, AL anniversary Date etc</t>
  </si>
  <si>
    <t>MasterData Assign Legacy ID - IT0709</t>
  </si>
  <si>
    <t>MasterData Assign Absence Quota Hours - IT2006  eg  AL, LSL, Personal Lve hrs</t>
  </si>
  <si>
    <t>Pro ration Rules,  New hire</t>
  </si>
  <si>
    <t>Pro ration Rules  Termination</t>
  </si>
  <si>
    <t>Pro ration Rules   Unpaid leave</t>
  </si>
  <si>
    <t xml:space="preserve">Pro Ration Rules  Allowance wage types </t>
  </si>
  <si>
    <t>Payment Wage Types - Recurring - IT0014 - min 2 period check, unless required</t>
  </si>
  <si>
    <t>Payment Wage Types - Additional - IT0015</t>
  </si>
  <si>
    <t>Payment Pro ration Wage Types eg Allowances</t>
  </si>
  <si>
    <t>Payment Time Quota Compensation - IT0416</t>
  </si>
  <si>
    <t>Negate Net Pay - using WT 7850</t>
  </si>
  <si>
    <t>Deduction Wage Types - Recurring - IT0014</t>
  </si>
  <si>
    <t>Deduction Wage Types - Additional - IT0015</t>
  </si>
  <si>
    <t>Claim -  generate a claim (/563) deduction &gt; income</t>
  </si>
  <si>
    <t>Hourly rates of Pay  /001</t>
  </si>
  <si>
    <t>Hourly rates of Pay  /002</t>
  </si>
  <si>
    <t>Hourly rates of Pay  /003</t>
  </si>
  <si>
    <t>Leave - Accrual - A/L, Personal, LSL</t>
  </si>
  <si>
    <t>Leave - Reduction for Certain Leave</t>
  </si>
  <si>
    <t>Transfer - Mid Month</t>
  </si>
  <si>
    <t>Leave - Paid</t>
  </si>
  <si>
    <t>Leave - Unpaid</t>
  </si>
  <si>
    <t>Leave Encashment</t>
  </si>
  <si>
    <t>Retrospective - Salary</t>
  </si>
  <si>
    <t>Retrospective - O'time</t>
  </si>
  <si>
    <t xml:space="preserve">Salary Increase </t>
  </si>
  <si>
    <t>Bonus Payment Post termination</t>
  </si>
  <si>
    <t>Rehire -  Rehire a terminated employee</t>
  </si>
  <si>
    <t>Tax - Calculation of Tax paid by ER based on Gross Up</t>
  </si>
  <si>
    <t>Statutory Reports</t>
  </si>
  <si>
    <t>Year End Individual Income Tax Declaration Report</t>
  </si>
  <si>
    <t>Accumulations: check all relevant /1xx wage types</t>
  </si>
  <si>
    <t>VN001014</t>
  </si>
  <si>
    <t>VN001013</t>
  </si>
  <si>
    <t>VN001012</t>
  </si>
  <si>
    <t>VN001011</t>
  </si>
  <si>
    <t>VN001010</t>
  </si>
  <si>
    <t>VN001009</t>
  </si>
  <si>
    <t>VN001008</t>
  </si>
  <si>
    <t>VN001007</t>
  </si>
  <si>
    <t>VN001006</t>
  </si>
  <si>
    <t>VN001005</t>
  </si>
  <si>
    <t>VN001004</t>
  </si>
  <si>
    <t>VN001003</t>
  </si>
  <si>
    <t>VN001002</t>
  </si>
  <si>
    <t>VN001001</t>
  </si>
  <si>
    <t>MasterData Assign Family/Member Dependants - IT0021</t>
  </si>
  <si>
    <t>MasterData Assign Personal ID - IT0185</t>
  </si>
  <si>
    <t>MasterData Assign Personal Income Tax IT 9520</t>
  </si>
  <si>
    <t>MasterData Assign Additional Information - IT 9522 (0021)</t>
  </si>
  <si>
    <t>MasterData Assign Social Insurance - IT 9521</t>
  </si>
  <si>
    <t>MasterData Assign Vietnam SI History - IT 9523</t>
  </si>
  <si>
    <t>Index List Total</t>
  </si>
  <si>
    <t>Total Scenarios</t>
  </si>
  <si>
    <t>UAT</t>
  </si>
  <si>
    <t>Month</t>
  </si>
  <si>
    <t>Completed Y/N</t>
  </si>
  <si>
    <t>Scenarios part of Master Data</t>
  </si>
  <si>
    <t>Scenarios part of Transactional Data</t>
  </si>
  <si>
    <t>Scenarios ER Information/Accruals</t>
  </si>
  <si>
    <t>Scenarios Stat/YearEnd Reporting</t>
  </si>
  <si>
    <t>Total</t>
  </si>
  <si>
    <t>WTinfotype</t>
  </si>
  <si>
    <t>WTtype</t>
  </si>
  <si>
    <t>Type</t>
  </si>
  <si>
    <t>Deduction</t>
  </si>
  <si>
    <t>Notational</t>
  </si>
  <si>
    <t>0267</t>
  </si>
  <si>
    <t>Paid Leave</t>
  </si>
  <si>
    <t>0416</t>
  </si>
  <si>
    <t>Unpaid Leave</t>
  </si>
  <si>
    <t>2001</t>
  </si>
  <si>
    <t>Override</t>
  </si>
  <si>
    <t>2010</t>
  </si>
  <si>
    <t>EE Contribution</t>
  </si>
  <si>
    <t>Auto Generate</t>
  </si>
  <si>
    <t>ER Information</t>
  </si>
  <si>
    <t>0709</t>
  </si>
  <si>
    <t>Personal ID</t>
  </si>
  <si>
    <t>Emp1</t>
  </si>
  <si>
    <t>Emp2</t>
  </si>
  <si>
    <t>Emp3</t>
  </si>
  <si>
    <t>Emp4</t>
  </si>
  <si>
    <t>Emp5</t>
  </si>
  <si>
    <t>Emp6</t>
  </si>
  <si>
    <t>Emp7</t>
  </si>
  <si>
    <t>Emp8</t>
  </si>
  <si>
    <t>Emp9</t>
  </si>
  <si>
    <t>Emp10</t>
  </si>
  <si>
    <t>Emp11</t>
  </si>
  <si>
    <t>Emp12</t>
  </si>
  <si>
    <t>Emp13</t>
  </si>
  <si>
    <t>Emp14</t>
  </si>
  <si>
    <t xml:space="preserve">One </t>
  </si>
  <si>
    <t>Two</t>
  </si>
  <si>
    <t>Three</t>
  </si>
  <si>
    <t>Four</t>
  </si>
  <si>
    <t>Five</t>
  </si>
  <si>
    <t>Six</t>
  </si>
  <si>
    <t>Seven</t>
  </si>
  <si>
    <t>Eight</t>
  </si>
  <si>
    <t>Nine</t>
  </si>
  <si>
    <t>Ten</t>
  </si>
  <si>
    <t>Eleven</t>
  </si>
  <si>
    <t>Twelve</t>
  </si>
  <si>
    <t>Thirteen</t>
  </si>
  <si>
    <t>Fourteen</t>
  </si>
  <si>
    <t>Severance Payment calculation</t>
  </si>
  <si>
    <t>Tax-Dependent retro Calculation</t>
  </si>
  <si>
    <t xml:space="preserve">13th month salary(if applicable)-check total calendar days 366/365 </t>
  </si>
  <si>
    <t>HI contribution- if EE's last working day is the last day of the month</t>
  </si>
  <si>
    <t>Year End Reconciliation - refer VN YE Preperation manual</t>
  </si>
  <si>
    <t>UAT Schedule</t>
  </si>
  <si>
    <t>UAT Issue Log</t>
  </si>
  <si>
    <t>Summary</t>
  </si>
  <si>
    <t>Comments / Action</t>
  </si>
  <si>
    <t xml:space="preserve">Tab </t>
  </si>
  <si>
    <t>New Hire</t>
  </si>
  <si>
    <t xml:space="preserve">New Hire details which includes hire date, legal entity, personnel area and all other relevant data required to setup the employee for testing. Back dated and future new hires tested                                            </t>
  </si>
  <si>
    <t>UAT1 - Jan</t>
  </si>
  <si>
    <t>UAT2 - Feb</t>
  </si>
  <si>
    <t>UAT3 - Mar</t>
  </si>
  <si>
    <t>UAT4 - Apr</t>
  </si>
  <si>
    <t>UAT5 - May</t>
  </si>
  <si>
    <t>UAT6 - Jun</t>
  </si>
  <si>
    <t>UAT7 - Jul</t>
  </si>
  <si>
    <t>UAT8 - Aug</t>
  </si>
  <si>
    <t>UAT9 - Sep</t>
  </si>
  <si>
    <t>UAT10 - Oct</t>
  </si>
  <si>
    <t>UAT11 -Nov</t>
  </si>
  <si>
    <t>UAT12 - Dec</t>
  </si>
  <si>
    <t>Issue Log Summary</t>
  </si>
  <si>
    <t xml:space="preserve">Config </t>
  </si>
  <si>
    <t xml:space="preserve">UAT </t>
  </si>
  <si>
    <t>UAT Schedule TAB</t>
  </si>
  <si>
    <t>UAT Issue Log TAB</t>
  </si>
  <si>
    <t>Index List TAB</t>
  </si>
  <si>
    <t>Wage Type Location TAB</t>
  </si>
  <si>
    <t>Weighted %</t>
  </si>
  <si>
    <t>If Yes % Completed</t>
  </si>
  <si>
    <t>Copy from Cell "C51" down as required</t>
  </si>
  <si>
    <t>The following gives a high level overview of activities that would occur in readiness for parallel</t>
  </si>
  <si>
    <t xml:space="preserve">For detailed steps/responsibilities please refer to the Project Schedule. </t>
  </si>
  <si>
    <t>Note:  All data movement between Client &amp; ADP is via a CRM ticket.</t>
  </si>
  <si>
    <t xml:space="preserve">          Client Parallel Readiness</t>
  </si>
  <si>
    <t xml:space="preserve">Responsible </t>
  </si>
  <si>
    <t>1. Has Client Legacy HR &amp; Payroll Data cleansing activity been completed?</t>
  </si>
  <si>
    <t>Client Data Expert</t>
  </si>
  <si>
    <t>2. Client Parallel resources on boarded &amp; trained ?</t>
  </si>
  <si>
    <t>Client HR / Finance</t>
  </si>
  <si>
    <t>3. If Variance Monitor being utilised, have .txt files been sent to ADP?</t>
  </si>
  <si>
    <t>Client SME/Data Expert</t>
  </si>
  <si>
    <t>4. If PTD being loaded, are SSL preparations in progress?</t>
  </si>
  <si>
    <t xml:space="preserve">          Parallel Data Preparation &amp; Load</t>
  </si>
  <si>
    <r>
      <rPr>
        <b/>
        <sz val="10"/>
        <color rgb="FF000000"/>
        <rFont val="Arial Narrow"/>
        <family val="2"/>
      </rPr>
      <t>To be considered</t>
    </r>
    <r>
      <rPr>
        <sz val="10"/>
        <color rgb="FF000000"/>
        <rFont val="Arial Narrow"/>
        <family val="2"/>
      </rPr>
      <t>:  EE's terminated around Parallel period, please advise ADP the EE GVID.</t>
    </r>
  </si>
  <si>
    <t>Extract raw data files from Legacy System</t>
  </si>
  <si>
    <t>Review data extracted for data completeness (volume and scope) and attach data file to a CRM ticket for ADP GV</t>
  </si>
  <si>
    <t>Perform data loads for parallel runs</t>
  </si>
  <si>
    <t>ADP Lead Consultant</t>
  </si>
  <si>
    <t>Provide Error logs to client</t>
  </si>
  <si>
    <t>Data Error investigation and correction</t>
  </si>
  <si>
    <t>Client SME/Data Expert - ADP Lead Consultant</t>
  </si>
  <si>
    <t>Validate data load complete, correct &amp; approved</t>
  </si>
  <si>
    <t xml:space="preserve">         Parallel Execution</t>
  </si>
  <si>
    <t xml:space="preserve">Load .txt Data Files (from Client) for Variance Monitor output (if applicable) </t>
  </si>
  <si>
    <t>ADP MS Implementation Consultant</t>
  </si>
  <si>
    <t>Process payroll, check &amp; release GV results to Client</t>
  </si>
  <si>
    <t>Validate GV Payroll Results against Legacy Payroll results</t>
  </si>
  <si>
    <t xml:space="preserve">Undertake necessary system configuration changes, if required </t>
  </si>
  <si>
    <t>Submit Correction Data, if required</t>
  </si>
  <si>
    <t>Re-run payroll, check &amp; release GV results</t>
  </si>
  <si>
    <t>Re Check &amp; Validate Results</t>
  </si>
  <si>
    <t>Sign-Off Parallel Payroll Results</t>
  </si>
  <si>
    <t>The following is a guide to assist GlobalView clients in validating GlobalView Parallel payroll results to their Legacy Payroll results.</t>
  </si>
  <si>
    <t>As a minimum, the following GV reports will be provided to the client to facilitate the validation process :
** Headcount Report
** Starters and Leavers Report
** Payroll Register
** Wage Type Reporter
** Payslips
** Variance Monitor Comparison Report (If the client has confirmed VM tool will be utilised and required inputs are provided to ADP)</t>
  </si>
  <si>
    <t>Validation Check</t>
  </si>
  <si>
    <t>GV Reports to facilitate</t>
  </si>
  <si>
    <t>Reconciliation Process</t>
  </si>
  <si>
    <t>Compare # of EE's paid in GV against Legacy</t>
  </si>
  <si>
    <t>Head Count 
Starters &amp; Leavers
Pay Register Report
Variance Monitor Report (if client utilising)</t>
  </si>
  <si>
    <t>Remove any EE’s not tested in GV but paid in Legacy, record these as a known/agreed variances.  If there remains a discrepancy, determine the EE’s - investigate why this has occurred.  Initial check can be undertaken using either Variance Monitor or Vlookup formula in excel.</t>
  </si>
  <si>
    <t>EE applicable</t>
  </si>
  <si>
    <t>Pay Register Report 
Payslips
Variance Monitor Report (if client utilising)</t>
  </si>
  <si>
    <r>
      <t>Compare each ees  GV</t>
    </r>
    <r>
      <rPr>
        <sz val="10"/>
        <color rgb="FFFF0000"/>
        <rFont val="Arial Narrow"/>
        <family val="2"/>
      </rPr>
      <t xml:space="preserve"> </t>
    </r>
    <r>
      <rPr>
        <sz val="10"/>
        <color theme="1"/>
        <rFont val="Arial Narrow"/>
        <family val="2"/>
      </rPr>
      <t xml:space="preserve">Net Pay to Legacy Net Pay. 
For any </t>
    </r>
    <r>
      <rPr>
        <u/>
        <sz val="10"/>
        <color theme="1"/>
        <rFont val="Arial Narrow"/>
        <family val="2"/>
      </rPr>
      <t>Net Pay matching</t>
    </r>
    <r>
      <rPr>
        <sz val="10"/>
        <color theme="1"/>
        <rFont val="Arial Narrow"/>
        <family val="2"/>
      </rPr>
      <t xml:space="preserve">, assume all EE payroll results are correct for that EE.  
For EE’s whose </t>
    </r>
    <r>
      <rPr>
        <u/>
        <sz val="10"/>
        <color theme="1"/>
        <rFont val="Arial Narrow"/>
        <family val="2"/>
      </rPr>
      <t>Net Pay is not matching</t>
    </r>
    <r>
      <rPr>
        <sz val="10"/>
        <color theme="1"/>
        <rFont val="Arial Narrow"/>
        <family val="2"/>
      </rPr>
      <t xml:space="preserve">, check individual payments then deductions to identify figures not matching. 
It is suggested that any checking begins with Payments </t>
    </r>
    <r>
      <rPr>
        <sz val="10"/>
        <rFont val="Arial Narrow"/>
        <family val="2"/>
      </rPr>
      <t>as these may effect other calculations for example , (a) statutory, (b) other ER calculations, etc.</t>
    </r>
    <r>
      <rPr>
        <sz val="10"/>
        <color rgb="FF92D050"/>
        <rFont val="Arial Narrow"/>
        <family val="2"/>
      </rPr>
      <t xml:space="preserve">  
</t>
    </r>
    <r>
      <rPr>
        <sz val="10"/>
        <rFont val="Arial Narrow"/>
        <family val="2"/>
      </rPr>
      <t>Determine the reason the figures are not matching.  Determine if the same reason applies to other EE’s</t>
    </r>
  </si>
  <si>
    <t>ER applicable</t>
  </si>
  <si>
    <t>Pay Register Report 
Payslips
Variance Monitor Report (if client utilising)
WTR EE wise( if client not using VM)</t>
  </si>
  <si>
    <t>Discount any irregularities based on any “EE Applicable” differences and work on any other outstanding differences.</t>
  </si>
  <si>
    <t>;I10</t>
    <phoneticPr fontId="11" type="noConversion"/>
  </si>
  <si>
    <t>;A</t>
    <phoneticPr fontId="11" type="noConversion"/>
  </si>
  <si>
    <t>;P</t>
    <phoneticPr fontId="11" type="noConversion"/>
  </si>
  <si>
    <t>Local</t>
    <phoneticPr fontId="11" type="noConversion"/>
  </si>
  <si>
    <t>3</t>
    <phoneticPr fontId="11" type="noConversion"/>
  </si>
  <si>
    <t>;E</t>
    <phoneticPr fontId="11" type="noConversion"/>
  </si>
  <si>
    <t>;I</t>
    <phoneticPr fontId="11" type="noConversion"/>
  </si>
  <si>
    <t>;P</t>
    <phoneticPr fontId="11" type="noConversion"/>
  </si>
  <si>
    <t>C</t>
    <phoneticPr fontId="11" type="noConversion"/>
  </si>
  <si>
    <t>I</t>
    <phoneticPr fontId="11" type="noConversion"/>
  </si>
  <si>
    <t>S</t>
    <phoneticPr fontId="11" type="noConversion"/>
  </si>
  <si>
    <t>;V</t>
    <phoneticPr fontId="11" type="noConversion"/>
  </si>
  <si>
    <t>International</t>
    <phoneticPr fontId="11" type="noConversion"/>
  </si>
  <si>
    <t>71</t>
    <phoneticPr fontId="11" type="noConversion"/>
  </si>
  <si>
    <t>2002</t>
  </si>
  <si>
    <t>2002</t>
    <phoneticPr fontId="11" type="noConversion"/>
  </si>
  <si>
    <t>Start Time</t>
    <phoneticPr fontId="11" type="noConversion"/>
  </si>
  <si>
    <t>End Time</t>
    <phoneticPr fontId="11" type="noConversion"/>
  </si>
  <si>
    <t>2300 Casual Hours</t>
    <phoneticPr fontId="11" type="noConversion"/>
  </si>
  <si>
    <t>CASUAL</t>
    <phoneticPr fontId="104" type="noConversion"/>
  </si>
  <si>
    <t>VN10</t>
  </si>
  <si>
    <t>S5400000</t>
    <phoneticPr fontId="104" type="noConversion"/>
  </si>
  <si>
    <t xml:space="preserve"> </t>
    <phoneticPr fontId="11" type="noConversion"/>
  </si>
  <si>
    <t>50 - Annual Leave</t>
  </si>
  <si>
    <t>60 - Sick Leave</t>
  </si>
  <si>
    <t>70 - LSL Scheme 1</t>
  </si>
  <si>
    <t>71 - LSL Scheme 2</t>
  </si>
  <si>
    <t>80 - Time in Lieu</t>
  </si>
  <si>
    <t>Quota Accrual</t>
    <phoneticPr fontId="11" type="noConversion"/>
  </si>
  <si>
    <t>Date Type 04</t>
    <phoneticPr fontId="11" type="noConversion"/>
  </si>
  <si>
    <t>Date 04</t>
    <phoneticPr fontId="11" type="noConversion"/>
  </si>
  <si>
    <t>01</t>
    <phoneticPr fontId="11" type="noConversion"/>
  </si>
  <si>
    <t>02</t>
    <phoneticPr fontId="11" type="noConversion"/>
  </si>
  <si>
    <t>02</t>
    <phoneticPr fontId="11" type="noConversion"/>
  </si>
  <si>
    <t>02</t>
    <phoneticPr fontId="11" type="noConversion"/>
  </si>
  <si>
    <t>02</t>
    <phoneticPr fontId="11" type="noConversion"/>
  </si>
  <si>
    <t>VZ</t>
    <phoneticPr fontId="11" type="noConversion"/>
  </si>
  <si>
    <t>0001</t>
    <phoneticPr fontId="11" type="noConversion"/>
  </si>
  <si>
    <t>0001</t>
    <phoneticPr fontId="11" type="noConversion"/>
  </si>
  <si>
    <t>0001</t>
    <phoneticPr fontId="11" type="noConversion"/>
  </si>
  <si>
    <t>0002</t>
    <phoneticPr fontId="11" type="noConversion"/>
  </si>
  <si>
    <t>0003</t>
    <phoneticPr fontId="11" type="noConversion"/>
  </si>
  <si>
    <t>;M</t>
    <phoneticPr fontId="11" type="noConversion"/>
  </si>
  <si>
    <t>Payscale Type</t>
    <phoneticPr fontId="11" type="noConversion"/>
  </si>
  <si>
    <t>Payscale Area</t>
    <phoneticPr fontId="11" type="noConversion"/>
  </si>
  <si>
    <t>Associate Lecturer</t>
    <phoneticPr fontId="11" type="noConversion"/>
  </si>
  <si>
    <t>Lecturer</t>
    <phoneticPr fontId="11" type="noConversion"/>
  </si>
  <si>
    <t>Senior Lecturer</t>
    <phoneticPr fontId="11" type="noConversion"/>
  </si>
  <si>
    <t>Payscale Group</t>
    <phoneticPr fontId="11" type="noConversion"/>
  </si>
  <si>
    <t>Professor</t>
    <phoneticPr fontId="11" type="noConversion"/>
  </si>
  <si>
    <t>Associate Professor</t>
  </si>
  <si>
    <t>Associate Professor</t>
    <phoneticPr fontId="11" type="noConversion"/>
  </si>
  <si>
    <t>E</t>
    <phoneticPr fontId="11" type="noConversion"/>
  </si>
  <si>
    <t>D2</t>
    <phoneticPr fontId="11" type="noConversion"/>
  </si>
  <si>
    <t>Professional</t>
    <phoneticPr fontId="11" type="noConversion"/>
  </si>
  <si>
    <t>A1</t>
    <phoneticPr fontId="11" type="noConversion"/>
  </si>
  <si>
    <t>Executives</t>
    <phoneticPr fontId="11" type="noConversion"/>
  </si>
  <si>
    <t>E3</t>
    <phoneticPr fontId="11" type="noConversion"/>
  </si>
  <si>
    <t>PSV5</t>
    <phoneticPr fontId="11" type="noConversion"/>
  </si>
  <si>
    <t>B5</t>
    <phoneticPr fontId="11" type="noConversion"/>
  </si>
  <si>
    <t>Visiting Professor</t>
    <phoneticPr fontId="11" type="noConversion"/>
  </si>
  <si>
    <t>International</t>
    <phoneticPr fontId="11" type="noConversion"/>
  </si>
  <si>
    <t>C6</t>
    <phoneticPr fontId="11" type="noConversion"/>
  </si>
  <si>
    <t>VP</t>
    <phoneticPr fontId="11" type="noConversion"/>
  </si>
  <si>
    <t>D1</t>
    <phoneticPr fontId="11" type="noConversion"/>
  </si>
  <si>
    <t>1000</t>
    <phoneticPr fontId="11" type="noConversion"/>
  </si>
  <si>
    <t>Accumulation WTs</t>
    <phoneticPr fontId="11" type="noConversion"/>
  </si>
  <si>
    <t>9113 13th Salary Cumulation</t>
    <phoneticPr fontId="11" type="noConversion"/>
  </si>
  <si>
    <t>FTE%</t>
    <phoneticPr fontId="11" type="noConversion"/>
  </si>
  <si>
    <t>1000 Monthly Salary</t>
    <phoneticPr fontId="11" type="noConversion"/>
  </si>
  <si>
    <t>Start Date of the Month</t>
    <phoneticPr fontId="11" type="noConversion"/>
  </si>
  <si>
    <t>Active Working Days</t>
    <phoneticPr fontId="11" type="noConversion"/>
  </si>
  <si>
    <t>T</t>
    <phoneticPr fontId="11" type="noConversion"/>
  </si>
  <si>
    <t>/031 6 Mth Aver Salary</t>
    <phoneticPr fontId="11" type="noConversion"/>
  </si>
  <si>
    <t>9033 YOS</t>
    <phoneticPr fontId="11" type="noConversion"/>
  </si>
  <si>
    <t>Notional WTs</t>
    <phoneticPr fontId="11" type="noConversion"/>
  </si>
  <si>
    <t>/430 Taxable Before Exemptions</t>
    <phoneticPr fontId="11" type="noConversion"/>
  </si>
  <si>
    <t>/400 Tax Current Month</t>
    <phoneticPr fontId="11" type="noConversion"/>
  </si>
  <si>
    <t>YTD Tax Paid</t>
    <phoneticPr fontId="11" type="noConversion"/>
  </si>
  <si>
    <t>YTD SI EE</t>
    <phoneticPr fontId="11" type="noConversion"/>
  </si>
  <si>
    <t>Rate 001</t>
    <phoneticPr fontId="11" type="noConversion"/>
  </si>
  <si>
    <t>EE Group</t>
    <phoneticPr fontId="11" type="noConversion"/>
  </si>
  <si>
    <t>EE Subgroup</t>
    <phoneticPr fontId="11" type="noConversion"/>
  </si>
  <si>
    <t>3525 Meal Allowance</t>
    <phoneticPr fontId="11" type="noConversion"/>
  </si>
  <si>
    <t>5V00 MI Monthly Target</t>
    <phoneticPr fontId="11" type="noConversion"/>
  </si>
  <si>
    <t>3081 Mobile phone allowance</t>
    <phoneticPr fontId="11" type="noConversion"/>
  </si>
  <si>
    <t>1100 Higher Duties Allowance</t>
    <phoneticPr fontId="11" type="noConversion"/>
  </si>
  <si>
    <t>3100 Driving allowance</t>
    <phoneticPr fontId="11" type="noConversion"/>
  </si>
  <si>
    <t xml:space="preserve">3240 Dependants Scholarship </t>
    <phoneticPr fontId="11" type="noConversion"/>
  </si>
  <si>
    <t>3210 CSS paid to EE by ER</t>
    <phoneticPr fontId="11" type="noConversion"/>
  </si>
  <si>
    <t>Total</t>
    <phoneticPr fontId="11" type="noConversion"/>
  </si>
  <si>
    <t>Rate 002</t>
    <phoneticPr fontId="11" type="noConversion"/>
  </si>
  <si>
    <t>Rate 003</t>
    <phoneticPr fontId="11" type="noConversion"/>
  </si>
  <si>
    <t>Factoring 801</t>
    <phoneticPr fontId="11" type="noConversion"/>
  </si>
  <si>
    <t>Factoring 803</t>
    <phoneticPr fontId="11" type="noConversion"/>
  </si>
  <si>
    <t>Factoring 804</t>
    <phoneticPr fontId="11" type="noConversion"/>
  </si>
  <si>
    <t>01.01.2019</t>
  </si>
  <si>
    <t>01.01.2019</t>
    <phoneticPr fontId="11" type="noConversion"/>
  </si>
  <si>
    <t>31.12.9999</t>
    <phoneticPr fontId="11" type="noConversion"/>
  </si>
  <si>
    <t>5V00</t>
    <phoneticPr fontId="11" type="noConversion"/>
  </si>
  <si>
    <t>08.01.2019</t>
  </si>
  <si>
    <t>08.01.2019</t>
    <phoneticPr fontId="11" type="noConversion"/>
  </si>
  <si>
    <t>5V01 Monthly MI by ER</t>
    <phoneticPr fontId="11" type="noConversion"/>
  </si>
  <si>
    <t>Active Calendar Days</t>
    <phoneticPr fontId="11" type="noConversion"/>
  </si>
  <si>
    <t>5V02 Monthly MI by EE</t>
    <phoneticPr fontId="11" type="noConversion"/>
  </si>
  <si>
    <t>WT/101</t>
    <phoneticPr fontId="11" type="noConversion"/>
  </si>
  <si>
    <t>Total Gross</t>
    <phoneticPr fontId="11" type="noConversion"/>
  </si>
  <si>
    <t>Total Taxable</t>
    <phoneticPr fontId="11" type="noConversion"/>
  </si>
  <si>
    <t>WT/106</t>
    <phoneticPr fontId="11" type="noConversion"/>
  </si>
  <si>
    <t>Insur. Salary</t>
    <phoneticPr fontId="11" type="noConversion"/>
  </si>
  <si>
    <t>WT/171</t>
    <phoneticPr fontId="11" type="noConversion"/>
  </si>
  <si>
    <t>Contr. Salary</t>
    <phoneticPr fontId="11" type="noConversion"/>
  </si>
  <si>
    <t>WT/179</t>
    <phoneticPr fontId="11" type="noConversion"/>
  </si>
  <si>
    <t>Serv. Pay</t>
    <phoneticPr fontId="11" type="noConversion"/>
  </si>
  <si>
    <t>P70</t>
    <phoneticPr fontId="11" type="noConversion"/>
  </si>
  <si>
    <t>X</t>
    <phoneticPr fontId="11" type="noConversion"/>
  </si>
  <si>
    <t>X</t>
    <phoneticPr fontId="11" type="noConversion"/>
  </si>
  <si>
    <t>X</t>
    <phoneticPr fontId="11" type="noConversion"/>
  </si>
  <si>
    <t>1100</t>
    <phoneticPr fontId="11" type="noConversion"/>
  </si>
  <si>
    <t>1100</t>
    <phoneticPr fontId="11" type="noConversion"/>
  </si>
  <si>
    <t>5V10 Merit payment</t>
    <phoneticPr fontId="11" type="noConversion"/>
  </si>
  <si>
    <t>28.02.2019</t>
    <phoneticPr fontId="11" type="noConversion"/>
  </si>
  <si>
    <t>5V10</t>
    <phoneticPr fontId="11" type="noConversion"/>
  </si>
  <si>
    <t>YOS</t>
    <phoneticPr fontId="11" type="noConversion"/>
  </si>
  <si>
    <t>5V03 Monthly MI by ER - DP</t>
    <phoneticPr fontId="11" type="noConversion"/>
  </si>
  <si>
    <t>5V04 Monthly MI by EE - DP</t>
    <phoneticPr fontId="11" type="noConversion"/>
  </si>
  <si>
    <t>5V05 DI Monthly Target</t>
    <phoneticPr fontId="11" type="noConversion"/>
  </si>
  <si>
    <t>5V05</t>
    <phoneticPr fontId="11" type="noConversion"/>
  </si>
  <si>
    <t>5V06 Monthly DI by EE</t>
    <phoneticPr fontId="11" type="noConversion"/>
  </si>
  <si>
    <t>5V07 Monthly DI by EE - DP</t>
    <phoneticPr fontId="11" type="noConversion"/>
  </si>
  <si>
    <t>01.01.2019</t>
    <phoneticPr fontId="11" type="noConversion"/>
  </si>
  <si>
    <t>USD</t>
    <phoneticPr fontId="11" type="noConversion"/>
  </si>
  <si>
    <t>01</t>
    <phoneticPr fontId="11" type="noConversion"/>
  </si>
  <si>
    <t>03</t>
    <phoneticPr fontId="11" type="noConversion"/>
  </si>
  <si>
    <t>05</t>
    <phoneticPr fontId="11" type="noConversion"/>
  </si>
  <si>
    <t>02</t>
    <phoneticPr fontId="11" type="noConversion"/>
  </si>
  <si>
    <t>04</t>
    <phoneticPr fontId="11" type="noConversion"/>
  </si>
  <si>
    <t>06</t>
    <phoneticPr fontId="11" type="noConversion"/>
  </si>
  <si>
    <t>SI Compulsory Type</t>
    <phoneticPr fontId="11" type="noConversion"/>
  </si>
  <si>
    <t>CSI Rate -  EE</t>
    <phoneticPr fontId="11" type="noConversion"/>
  </si>
  <si>
    <t>CSI Rate -  ER</t>
    <phoneticPr fontId="11" type="noConversion"/>
  </si>
  <si>
    <t>UI Rate - EE</t>
    <phoneticPr fontId="11" type="noConversion"/>
  </si>
  <si>
    <t>UI Rate - ER</t>
    <phoneticPr fontId="11" type="noConversion"/>
  </si>
  <si>
    <t>HI Rate - EE</t>
    <phoneticPr fontId="11" type="noConversion"/>
  </si>
  <si>
    <t>HI Rate - ER</t>
    <phoneticPr fontId="11" type="noConversion"/>
  </si>
  <si>
    <t>Emp. Category</t>
    <phoneticPr fontId="11" type="noConversion"/>
  </si>
  <si>
    <t>Natrue of Person</t>
    <phoneticPr fontId="11" type="noConversion"/>
  </si>
  <si>
    <t>Combination</t>
    <phoneticPr fontId="11" type="noConversion"/>
  </si>
  <si>
    <t>A</t>
    <phoneticPr fontId="11" type="noConversion"/>
  </si>
  <si>
    <t>B</t>
    <phoneticPr fontId="11" type="noConversion"/>
  </si>
  <si>
    <t>C</t>
    <phoneticPr fontId="11" type="noConversion"/>
  </si>
  <si>
    <t>02</t>
    <phoneticPr fontId="11" type="noConversion"/>
  </si>
  <si>
    <t>01</t>
    <phoneticPr fontId="11" type="noConversion"/>
  </si>
  <si>
    <t>D</t>
    <phoneticPr fontId="11" type="noConversion"/>
  </si>
  <si>
    <t>A</t>
    <phoneticPr fontId="11" type="noConversion"/>
  </si>
  <si>
    <t>Taxation Type</t>
    <phoneticPr fontId="11" type="noConversion"/>
  </si>
  <si>
    <t>X</t>
    <phoneticPr fontId="11" type="noConversion"/>
  </si>
  <si>
    <t>X</t>
    <phoneticPr fontId="11" type="noConversion"/>
  </si>
  <si>
    <t>1102 Managerial Allowance</t>
    <phoneticPr fontId="11" type="noConversion"/>
  </si>
  <si>
    <t>1102</t>
    <phoneticPr fontId="11" type="noConversion"/>
  </si>
  <si>
    <t>1102</t>
    <phoneticPr fontId="11" type="noConversion"/>
  </si>
  <si>
    <t xml:space="preserve">  Non-cash Payment</t>
    <phoneticPr fontId="11" type="noConversion"/>
  </si>
  <si>
    <t>/321 CSI ER</t>
    <phoneticPr fontId="11" type="noConversion"/>
  </si>
  <si>
    <t>/341 UI ER</t>
    <phoneticPr fontId="11" type="noConversion"/>
  </si>
  <si>
    <t>/351 HI ER</t>
    <phoneticPr fontId="11" type="noConversion"/>
  </si>
  <si>
    <t>/320 CSI EE</t>
    <phoneticPr fontId="11" type="noConversion"/>
  </si>
  <si>
    <t>/340 UI EE</t>
    <phoneticPr fontId="11" type="noConversion"/>
  </si>
  <si>
    <t>/350 HI EE</t>
    <phoneticPr fontId="11" type="noConversion"/>
  </si>
  <si>
    <t>/101 Total Gross</t>
    <phoneticPr fontId="11" type="noConversion"/>
  </si>
  <si>
    <t>/106 Taxable Income</t>
    <phoneticPr fontId="11" type="noConversion"/>
  </si>
  <si>
    <t>/171 Insurance Salary</t>
    <phoneticPr fontId="11" type="noConversion"/>
  </si>
  <si>
    <t xml:space="preserve">  Non-taxable Payment</t>
    <phoneticPr fontId="11" type="noConversion"/>
  </si>
  <si>
    <t>/030 Severance Earings</t>
    <phoneticPr fontId="11" type="noConversion"/>
  </si>
  <si>
    <t>6 month Severance Earnings</t>
    <phoneticPr fontId="11" type="noConversion"/>
  </si>
  <si>
    <t>3012 Domestic Relocation Assistance</t>
    <phoneticPr fontId="11" type="noConversion"/>
  </si>
  <si>
    <t xml:space="preserve">3132 Exec Bonus </t>
    <phoneticPr fontId="11" type="noConversion"/>
  </si>
  <si>
    <t>3200 Sales incentive</t>
    <phoneticPr fontId="104" type="noConversion"/>
  </si>
  <si>
    <t>3299 Cash Refund by EE</t>
    <phoneticPr fontId="104" type="noConversion"/>
  </si>
  <si>
    <t>7090 Compen. for advanced notice</t>
    <phoneticPr fontId="104" type="noConversion"/>
  </si>
  <si>
    <t>7V30 Fees of visa/TRC related</t>
    <phoneticPr fontId="104" type="noConversion"/>
  </si>
  <si>
    <t>7050 Personal expense(s)</t>
    <phoneticPr fontId="104" type="noConversion"/>
  </si>
  <si>
    <t xml:space="preserve">7080 Relocation Refunding </t>
    <phoneticPr fontId="104" type="noConversion"/>
  </si>
  <si>
    <t>7850 Pre-payment Offset</t>
    <phoneticPr fontId="104" type="noConversion"/>
  </si>
  <si>
    <t>X</t>
    <phoneticPr fontId="104" type="noConversion"/>
  </si>
  <si>
    <t xml:space="preserve">3501 Clothing Allowance </t>
    <phoneticPr fontId="11" type="noConversion"/>
  </si>
  <si>
    <t>2300</t>
    <phoneticPr fontId="11" type="noConversion"/>
  </si>
  <si>
    <t>1100</t>
    <phoneticPr fontId="11" type="noConversion"/>
  </si>
  <si>
    <t>1102</t>
    <phoneticPr fontId="11" type="noConversion"/>
  </si>
  <si>
    <t>18.01.2019</t>
    <phoneticPr fontId="11" type="noConversion"/>
  </si>
  <si>
    <t>USD</t>
    <phoneticPr fontId="11" type="noConversion"/>
  </si>
  <si>
    <t>USD</t>
    <phoneticPr fontId="11" type="noConversion"/>
  </si>
  <si>
    <t>USD</t>
    <phoneticPr fontId="11" type="noConversion"/>
  </si>
  <si>
    <t>/410 Total EE SI Contribution</t>
    <phoneticPr fontId="11" type="noConversion"/>
  </si>
  <si>
    <t>Enter test data relating to IT0015</t>
    <phoneticPr fontId="104" type="noConversion"/>
  </si>
  <si>
    <t>01.03.2019</t>
    <phoneticPr fontId="104" type="noConversion"/>
  </si>
  <si>
    <t>USD</t>
    <phoneticPr fontId="104" type="noConversion"/>
  </si>
  <si>
    <t>3291 One-time Lump-sum</t>
    <phoneticPr fontId="104" type="noConversion"/>
  </si>
  <si>
    <t>X</t>
    <phoneticPr fontId="104" type="noConversion"/>
  </si>
  <si>
    <t>7065 School Fee</t>
    <phoneticPr fontId="11" type="noConversion"/>
  </si>
  <si>
    <t>7070 Home Leave Airfare</t>
    <phoneticPr fontId="11" type="noConversion"/>
  </si>
  <si>
    <t>3015 Sal. Pack. Recon. - Airfare</t>
    <phoneticPr fontId="11" type="noConversion"/>
  </si>
  <si>
    <t>3016 Sal. Pack. Recon. - School Fee</t>
    <phoneticPr fontId="11" type="noConversion"/>
  </si>
  <si>
    <t>USD</t>
    <phoneticPr fontId="104" type="noConversion"/>
  </si>
  <si>
    <t>USD</t>
    <phoneticPr fontId="104" type="noConversion"/>
  </si>
  <si>
    <t>USD</t>
    <phoneticPr fontId="104" type="noConversion"/>
  </si>
  <si>
    <t>5V08</t>
    <phoneticPr fontId="104" type="noConversion"/>
  </si>
  <si>
    <t>5V08 One-time Adj MI by EE</t>
    <phoneticPr fontId="104" type="noConversion"/>
  </si>
  <si>
    <t>USD</t>
    <phoneticPr fontId="104" type="noConversion"/>
  </si>
  <si>
    <t>7055 Advanced clearance</t>
    <phoneticPr fontId="104" type="noConversion"/>
  </si>
  <si>
    <t>7V30</t>
    <phoneticPr fontId="104" type="noConversion"/>
  </si>
  <si>
    <t>USD</t>
    <phoneticPr fontId="104" type="noConversion"/>
  </si>
  <si>
    <t>USD</t>
    <phoneticPr fontId="104" type="noConversion"/>
  </si>
  <si>
    <t>P</t>
    <phoneticPr fontId="11" type="noConversion"/>
  </si>
  <si>
    <t>Rate 004</t>
    <phoneticPr fontId="11" type="noConversion"/>
  </si>
  <si>
    <t>Calculation Related</t>
    <phoneticPr fontId="11" type="noConversion"/>
  </si>
  <si>
    <t>Unpaid Leave</t>
    <phoneticPr fontId="11" type="noConversion"/>
  </si>
  <si>
    <t>Unpaid Leave Paid by Gov.</t>
    <phoneticPr fontId="11" type="noConversion"/>
  </si>
  <si>
    <t>Parental &amp; Prenatal Lv.</t>
    <phoneticPr fontId="11" type="noConversion"/>
  </si>
  <si>
    <t>1001 Nominal Salary</t>
    <phoneticPr fontId="11" type="noConversion"/>
  </si>
  <si>
    <t>Monthly Planned Working Days</t>
    <phoneticPr fontId="11" type="noConversion"/>
  </si>
  <si>
    <t>Foreigner Insurance Salary</t>
    <phoneticPr fontId="11" type="noConversion"/>
  </si>
  <si>
    <t>*1000 Monthly Salary</t>
    <phoneticPr fontId="11" type="noConversion"/>
  </si>
  <si>
    <t>*1100 Higher Duties Allowance</t>
    <phoneticPr fontId="11" type="noConversion"/>
  </si>
  <si>
    <t>*1102 Managerial Allowance</t>
    <phoneticPr fontId="11" type="noConversion"/>
  </si>
  <si>
    <t>Monthly Planned Workding Days</t>
    <phoneticPr fontId="104" type="noConversion"/>
  </si>
  <si>
    <t>P</t>
    <phoneticPr fontId="11" type="noConversion"/>
  </si>
  <si>
    <t>0001</t>
    <phoneticPr fontId="11" type="noConversion"/>
  </si>
  <si>
    <t>Entitlement 1</t>
    <phoneticPr fontId="11" type="noConversion"/>
  </si>
  <si>
    <t>Daily Hours</t>
    <phoneticPr fontId="11" type="noConversion"/>
  </si>
  <si>
    <t>P5320000</t>
  </si>
  <si>
    <t>P5300000</t>
  </si>
  <si>
    <t>P5240000</t>
  </si>
  <si>
    <t>Entitlement 2</t>
    <phoneticPr fontId="11" type="noConversion"/>
  </si>
  <si>
    <t>9LSL</t>
    <phoneticPr fontId="11" type="noConversion"/>
  </si>
  <si>
    <t>All</t>
    <phoneticPr fontId="11" type="noConversion"/>
  </si>
  <si>
    <t>School Fee</t>
  </si>
  <si>
    <t>Home Leave Airfare</t>
  </si>
  <si>
    <t>Auto</t>
    <phoneticPr fontId="11" type="noConversion"/>
  </si>
  <si>
    <t>0014</t>
    <phoneticPr fontId="11" type="noConversion"/>
  </si>
  <si>
    <t xml:space="preserve">Clothing Allowance </t>
  </si>
  <si>
    <t>Meal Allowance</t>
  </si>
  <si>
    <t xml:space="preserve">Dependants Scholarship </t>
  </si>
  <si>
    <t xml:space="preserve">Super -  EE Post Tax     </t>
  </si>
  <si>
    <t>ZX01</t>
    <phoneticPr fontId="11" type="noConversion"/>
  </si>
  <si>
    <t>ZY01</t>
    <phoneticPr fontId="11" type="noConversion"/>
  </si>
  <si>
    <t>ZZ01</t>
    <phoneticPr fontId="11" type="noConversion"/>
  </si>
  <si>
    <t>ZX02</t>
    <phoneticPr fontId="11" type="noConversion"/>
  </si>
  <si>
    <t>ZY02</t>
    <phoneticPr fontId="11" type="noConversion"/>
  </si>
  <si>
    <t>ZZ02</t>
    <phoneticPr fontId="11" type="noConversion"/>
  </si>
  <si>
    <t>LWOP for AL &amp; SL &amp; LSL</t>
    <phoneticPr fontId="11" type="noConversion"/>
  </si>
  <si>
    <t>70 LSL 1 Accr.</t>
    <phoneticPr fontId="11" type="noConversion"/>
  </si>
  <si>
    <t>71 LSL 2 Accr.</t>
    <phoneticPr fontId="11" type="noConversion"/>
  </si>
  <si>
    <t>Quota Type</t>
    <phoneticPr fontId="11" type="noConversion"/>
  </si>
  <si>
    <t>Number</t>
    <phoneticPr fontId="11" type="noConversion"/>
  </si>
  <si>
    <t>ZX00</t>
    <phoneticPr fontId="11" type="noConversion"/>
  </si>
  <si>
    <t>Domestic Relocation Assistance</t>
  </si>
  <si>
    <t xml:space="preserve">Exec Bonus </t>
  </si>
  <si>
    <t>Sales incentive</t>
  </si>
  <si>
    <t>Cash Refund by EE</t>
  </si>
  <si>
    <t>One-time Adj MI by EE</t>
  </si>
  <si>
    <t>Fees of visa/TRC related</t>
  </si>
  <si>
    <t>Personal expense(s)</t>
  </si>
  <si>
    <t>Advanced clearance</t>
  </si>
  <si>
    <t xml:space="preserve">Relocation Refunding </t>
  </si>
  <si>
    <t>Pre-payment Offset</t>
  </si>
  <si>
    <t>0015</t>
    <phoneticPr fontId="11" type="noConversion"/>
  </si>
  <si>
    <t>UAT3</t>
    <phoneticPr fontId="11" type="noConversion"/>
  </si>
  <si>
    <t>Hours</t>
    <phoneticPr fontId="11" type="noConversion"/>
  </si>
  <si>
    <t>16.01.2019</t>
    <phoneticPr fontId="11" type="noConversion"/>
  </si>
  <si>
    <t>30.01.2019</t>
    <phoneticPr fontId="11" type="noConversion"/>
  </si>
  <si>
    <t>23.01.2019</t>
    <phoneticPr fontId="11" type="noConversion"/>
  </si>
  <si>
    <t>20.02.2019</t>
    <phoneticPr fontId="11" type="noConversion"/>
  </si>
  <si>
    <t>27.02.2019</t>
    <phoneticPr fontId="11" type="noConversion"/>
  </si>
  <si>
    <t>06.03.2019</t>
    <phoneticPr fontId="11" type="noConversion"/>
  </si>
  <si>
    <t>20.03.2019</t>
    <phoneticPr fontId="11" type="noConversion"/>
  </si>
  <si>
    <t>13.03.2019</t>
    <phoneticPr fontId="11" type="noConversion"/>
  </si>
  <si>
    <t>27.03.2019</t>
    <phoneticPr fontId="11" type="noConversion"/>
  </si>
  <si>
    <t>03.04.2019</t>
    <phoneticPr fontId="11" type="noConversion"/>
  </si>
  <si>
    <t>17.04.2019</t>
    <phoneticPr fontId="11" type="noConversion"/>
  </si>
  <si>
    <t>10.04.2019</t>
    <phoneticPr fontId="11" type="noConversion"/>
  </si>
  <si>
    <t>24.04.2019</t>
    <phoneticPr fontId="11" type="noConversion"/>
  </si>
  <si>
    <t>01.05.2019</t>
    <phoneticPr fontId="11" type="noConversion"/>
  </si>
  <si>
    <t>01.05.2019</t>
    <phoneticPr fontId="104" type="noConversion"/>
  </si>
  <si>
    <t>Time Result from Evaluation</t>
    <phoneticPr fontId="11" type="noConversion"/>
  </si>
  <si>
    <t>11.05.2019</t>
    <phoneticPr fontId="104" type="noConversion"/>
  </si>
  <si>
    <t>12.05.2019</t>
    <phoneticPr fontId="104" type="noConversion"/>
  </si>
  <si>
    <t>2025  OT Weekend day 200%</t>
    <phoneticPr fontId="104" type="noConversion"/>
  </si>
  <si>
    <t>YTD accumulated OT</t>
    <phoneticPr fontId="104" type="noConversion"/>
  </si>
  <si>
    <t>PSV10</t>
    <phoneticPr fontId="11" type="noConversion"/>
  </si>
  <si>
    <t>15.05.2019</t>
    <phoneticPr fontId="104" type="noConversion"/>
  </si>
  <si>
    <t>TOIL @ 100%</t>
  </si>
  <si>
    <t>TOIL @ 150%</t>
  </si>
  <si>
    <t>TOIL @ 195%</t>
  </si>
  <si>
    <t>TOIL @ 200%</t>
  </si>
  <si>
    <t>TOIL @ 260%</t>
  </si>
  <si>
    <t>3011 Intern. Relo. Ass.</t>
    <phoneticPr fontId="11" type="noConversion"/>
  </si>
  <si>
    <t>Factoring 801 - 2</t>
    <phoneticPr fontId="11" type="noConversion"/>
  </si>
  <si>
    <t>Factoring 803 - 2</t>
    <phoneticPr fontId="11" type="noConversion"/>
  </si>
  <si>
    <t>Active Working Days - 2</t>
    <phoneticPr fontId="11" type="noConversion"/>
  </si>
  <si>
    <t>Active Calendar Days - 2</t>
    <phoneticPr fontId="11" type="noConversion"/>
  </si>
  <si>
    <t>Salary Increase Day</t>
    <phoneticPr fontId="104" type="noConversion"/>
  </si>
  <si>
    <t>Rate 003 - 2</t>
    <phoneticPr fontId="11" type="noConversion"/>
  </si>
  <si>
    <t>Rate 002 - 2</t>
    <phoneticPr fontId="104" type="noConversion"/>
  </si>
  <si>
    <t>Rate 001 - 2</t>
    <phoneticPr fontId="11" type="noConversion"/>
  </si>
  <si>
    <t>Rate 004 - 2</t>
    <phoneticPr fontId="104" type="noConversion"/>
  </si>
  <si>
    <t>1000 Monthly Salary - New</t>
    <phoneticPr fontId="11" type="noConversion"/>
  </si>
  <si>
    <t>1100 Higher Duties Allowance - New</t>
    <phoneticPr fontId="11" type="noConversion"/>
  </si>
  <si>
    <t>1102 Managerial Allowance - New</t>
    <phoneticPr fontId="11" type="noConversion"/>
  </si>
  <si>
    <t>02.05.2019</t>
    <phoneticPr fontId="104" type="noConversion"/>
  </si>
  <si>
    <t>14.05.2019</t>
  </si>
  <si>
    <t>14.05.2019</t>
    <phoneticPr fontId="104" type="noConversion"/>
  </si>
  <si>
    <t>16.05.2019</t>
    <phoneticPr fontId="104" type="noConversion"/>
  </si>
  <si>
    <t>21.05.2019</t>
    <phoneticPr fontId="104" type="noConversion"/>
  </si>
  <si>
    <t>23.05.2019</t>
    <phoneticPr fontId="104" type="noConversion"/>
  </si>
  <si>
    <t>29.05.2019</t>
    <phoneticPr fontId="104" type="noConversion"/>
  </si>
  <si>
    <t>31.05.2019</t>
    <phoneticPr fontId="104" type="noConversion"/>
  </si>
  <si>
    <t>WT2152 OT Weekend Day @ 100%</t>
    <phoneticPr fontId="104" type="noConversion"/>
  </si>
  <si>
    <t>13.05.2019</t>
    <phoneticPr fontId="104" type="noConversion"/>
  </si>
  <si>
    <t>Retro Active Working Days</t>
    <phoneticPr fontId="11" type="noConversion"/>
  </si>
  <si>
    <t>Retro Active Calendar Days</t>
    <phoneticPr fontId="11" type="noConversion"/>
  </si>
  <si>
    <t>*1000 Monthly Salary</t>
    <phoneticPr fontId="11" type="noConversion"/>
  </si>
  <si>
    <t>1000 Monthly Salary - Old</t>
    <phoneticPr fontId="11" type="noConversion"/>
  </si>
  <si>
    <t>1100 Higher Duties Allowance Old</t>
    <phoneticPr fontId="11" type="noConversion"/>
  </si>
  <si>
    <t>1102 Managerial Allowance - Old</t>
    <phoneticPr fontId="11" type="noConversion"/>
  </si>
  <si>
    <t>*1100 Higher Duties Allowance</t>
    <phoneticPr fontId="11" type="noConversion"/>
  </si>
  <si>
    <t>Factoring 801 - Retro</t>
    <phoneticPr fontId="11" type="noConversion"/>
  </si>
  <si>
    <t>Factoring 803 - Retro</t>
    <phoneticPr fontId="11" type="noConversion"/>
  </si>
  <si>
    <t>*1102 Managerial Allowance</t>
    <phoneticPr fontId="11" type="noConversion"/>
  </si>
  <si>
    <t>03.06.2019</t>
    <phoneticPr fontId="104" type="noConversion"/>
  </si>
  <si>
    <t>16.06.2019</t>
    <phoneticPr fontId="104" type="noConversion"/>
  </si>
  <si>
    <t>17.06.2019</t>
    <phoneticPr fontId="104" type="noConversion"/>
  </si>
  <si>
    <t>02.06.2019</t>
    <phoneticPr fontId="104" type="noConversion"/>
  </si>
  <si>
    <t>04.06.2019</t>
    <phoneticPr fontId="104" type="noConversion"/>
  </si>
  <si>
    <t>07.06.2019</t>
    <phoneticPr fontId="104" type="noConversion"/>
  </si>
  <si>
    <t>11.06.2019</t>
    <phoneticPr fontId="104" type="noConversion"/>
  </si>
  <si>
    <t>13.06.2019</t>
    <phoneticPr fontId="104" type="noConversion"/>
  </si>
  <si>
    <t>27.06.2019</t>
    <phoneticPr fontId="104" type="noConversion"/>
  </si>
  <si>
    <t>28.06.2019</t>
    <phoneticPr fontId="104" type="noConversion"/>
  </si>
  <si>
    <t>23.06.2019</t>
    <phoneticPr fontId="104" type="noConversion"/>
  </si>
  <si>
    <t>2012</t>
    <phoneticPr fontId="11" type="noConversion"/>
  </si>
  <si>
    <t>01.01.2019</t>
    <phoneticPr fontId="11" type="noConversion"/>
  </si>
  <si>
    <t>9LSL</t>
    <phoneticPr fontId="11" type="noConversion"/>
  </si>
  <si>
    <t>2300 Casual Hours</t>
    <phoneticPr fontId="11" type="noConversion"/>
  </si>
  <si>
    <t>07.07.2019</t>
    <phoneticPr fontId="104" type="noConversion"/>
  </si>
  <si>
    <t>14.07.2019</t>
    <phoneticPr fontId="104" type="noConversion"/>
  </si>
  <si>
    <t>21.07.2019</t>
    <phoneticPr fontId="104" type="noConversion"/>
  </si>
  <si>
    <t>Testing of Absences &amp; LSL</t>
    <phoneticPr fontId="104" type="noConversion"/>
  </si>
  <si>
    <t>3003 Accident Leave</t>
    <phoneticPr fontId="104" type="noConversion"/>
  </si>
  <si>
    <t>3004 Maternity Leave Unpaid</t>
    <phoneticPr fontId="104" type="noConversion"/>
  </si>
  <si>
    <t>3005 Paternity Leave Unpaid</t>
    <phoneticPr fontId="104" type="noConversion"/>
  </si>
  <si>
    <t>3009 Leave Due to Miscarriage</t>
    <phoneticPr fontId="104" type="noConversion"/>
  </si>
  <si>
    <t xml:space="preserve">1000 Annual Leave             </t>
    <phoneticPr fontId="104" type="noConversion"/>
  </si>
  <si>
    <t>2000 Sick Leave</t>
    <phoneticPr fontId="104" type="noConversion"/>
  </si>
  <si>
    <t xml:space="preserve">5000 Long Service Leave       </t>
    <phoneticPr fontId="104" type="noConversion"/>
  </si>
  <si>
    <t>3007 Childcare Leave</t>
    <phoneticPr fontId="104" type="noConversion"/>
  </si>
  <si>
    <t>3008 Adoption Leave</t>
    <phoneticPr fontId="104" type="noConversion"/>
  </si>
  <si>
    <t>3010 Sick leave-SI compensation</t>
    <phoneticPr fontId="104" type="noConversion"/>
  </si>
  <si>
    <t>3000 Leave Without Pay</t>
    <phoneticPr fontId="104" type="noConversion"/>
  </si>
  <si>
    <t>3002 Sick Leave Without Pay&gt; 90 days</t>
    <phoneticPr fontId="104" type="noConversion"/>
  </si>
  <si>
    <t>3001 Leave Without Pay &gt; 90 days</t>
    <phoneticPr fontId="104" type="noConversion"/>
  </si>
  <si>
    <t>3006 Prenatal Check-Up</t>
    <phoneticPr fontId="104" type="noConversion"/>
  </si>
  <si>
    <t>01.08.2019</t>
  </si>
  <si>
    <t>01.08.2019</t>
    <phoneticPr fontId="104" type="noConversion"/>
  </si>
  <si>
    <t>5V10</t>
    <phoneticPr fontId="104" type="noConversion"/>
  </si>
  <si>
    <t>3AB1 Unpaid Lv Deduct – Base Pay</t>
    <phoneticPr fontId="104" type="noConversion"/>
  </si>
  <si>
    <t>3AB2 Unpaid Lv Deduct – Allow</t>
    <phoneticPr fontId="104" type="noConversion"/>
  </si>
  <si>
    <t>2001</t>
    <phoneticPr fontId="11" type="noConversion"/>
  </si>
  <si>
    <t>Quota Balance</t>
    <phoneticPr fontId="11" type="noConversion"/>
  </si>
  <si>
    <t>Abs. Type 4</t>
    <phoneticPr fontId="11" type="noConversion"/>
  </si>
  <si>
    <t>Start Date 4</t>
    <phoneticPr fontId="11" type="noConversion"/>
  </si>
  <si>
    <t>End Date 4</t>
    <phoneticPr fontId="11" type="noConversion"/>
  </si>
  <si>
    <t>70 LSL 1 Accr.</t>
  </si>
  <si>
    <t>71 LSL 2 Accr.</t>
  </si>
  <si>
    <t>04.08.2019</t>
    <phoneticPr fontId="104" type="noConversion"/>
  </si>
  <si>
    <t>11.08.2019</t>
    <phoneticPr fontId="104" type="noConversion"/>
  </si>
  <si>
    <t>18.08.2019</t>
    <phoneticPr fontId="104" type="noConversion"/>
  </si>
  <si>
    <t>2375 LSL Scheme 2 5yrs</t>
  </si>
  <si>
    <t>2375 LSL Scheme 2 5yrs</t>
    <phoneticPr fontId="104" type="noConversion"/>
  </si>
  <si>
    <t>2376 LSL Scheme 2 &gt;5yrs</t>
  </si>
  <si>
    <t>2376 LSL Scheme 2 &gt;5yrs</t>
    <phoneticPr fontId="104" type="noConversion"/>
  </si>
  <si>
    <t>ZX03</t>
    <phoneticPr fontId="11" type="noConversion"/>
  </si>
  <si>
    <t>ZY03</t>
    <phoneticPr fontId="11" type="noConversion"/>
  </si>
  <si>
    <t>ZZ03</t>
    <phoneticPr fontId="11" type="noConversion"/>
  </si>
  <si>
    <t>2410 Maternity Lv vPay</t>
    <phoneticPr fontId="104" type="noConversion"/>
  </si>
  <si>
    <t>2411 Parntl/Prentl/Miscar vPay</t>
    <phoneticPr fontId="104" type="noConversion"/>
  </si>
  <si>
    <t>SI Workding Days</t>
    <phoneticPr fontId="104" type="noConversion"/>
  </si>
  <si>
    <t>01.10.2019</t>
    <phoneticPr fontId="11" type="noConversion"/>
  </si>
  <si>
    <t>08.10.2019</t>
    <phoneticPr fontId="11" type="noConversion"/>
  </si>
  <si>
    <t>15.10.2019</t>
    <phoneticPr fontId="11" type="noConversion"/>
  </si>
  <si>
    <t>29.10.2019</t>
    <phoneticPr fontId="104" type="noConversion"/>
  </si>
  <si>
    <t>22.10.2019</t>
    <phoneticPr fontId="104" type="noConversion"/>
  </si>
  <si>
    <t>07.09.2019</t>
    <phoneticPr fontId="104" type="noConversion"/>
  </si>
  <si>
    <t>14.09.2019</t>
    <phoneticPr fontId="104" type="noConversion"/>
  </si>
  <si>
    <t>21.09.2019</t>
    <phoneticPr fontId="104" type="noConversion"/>
  </si>
  <si>
    <t>3220 ML Allow Paid by Social Security</t>
    <phoneticPr fontId="104" type="noConversion"/>
  </si>
  <si>
    <t>3255 2 Months of MIN Base Pay</t>
    <phoneticPr fontId="104" type="noConversion"/>
  </si>
  <si>
    <t>3221 Parntl/Prentl/Miscar Gov</t>
    <phoneticPr fontId="104" type="noConversion"/>
  </si>
  <si>
    <t xml:space="preserve">  Non-Taxable Allowance</t>
    <phoneticPr fontId="11" type="noConversion"/>
  </si>
  <si>
    <t>0015</t>
    <phoneticPr fontId="11" type="noConversion"/>
  </si>
  <si>
    <t>3230 ML Additional allow paid by ER</t>
    <phoneticPr fontId="11" type="noConversion"/>
  </si>
  <si>
    <t xml:space="preserve">3231 Parntl/Prentl/Miscar ER </t>
    <phoneticPr fontId="11" type="noConversion"/>
  </si>
  <si>
    <t>50 AL Accr.</t>
    <phoneticPr fontId="11" type="noConversion"/>
  </si>
  <si>
    <t>60 SL Accr.</t>
    <phoneticPr fontId="11" type="noConversion"/>
  </si>
  <si>
    <t>*/030 Severance Earings</t>
    <phoneticPr fontId="11" type="noConversion"/>
  </si>
  <si>
    <t>Maternity Lv after Y2019</t>
  </si>
  <si>
    <t>Maternity Lv after Y2019</t>
    <phoneticPr fontId="104" type="noConversion"/>
  </si>
  <si>
    <t xml:space="preserve">5080 Severance Pay  </t>
    <phoneticPr fontId="104" type="noConversion"/>
  </si>
  <si>
    <t>5091 SP Additional EE-taxed</t>
    <phoneticPr fontId="104" type="noConversion"/>
  </si>
  <si>
    <t>5090 SP Additional ER-taxed</t>
    <phoneticPr fontId="104" type="noConversion"/>
  </si>
  <si>
    <t>01.11.2019</t>
    <phoneticPr fontId="11" type="noConversion"/>
  </si>
  <si>
    <t>Last Working Day</t>
    <phoneticPr fontId="104" type="noConversion"/>
  </si>
  <si>
    <t>0416</t>
    <phoneticPr fontId="11" type="noConversion"/>
  </si>
  <si>
    <t>5050 AL Quota Compensation</t>
    <phoneticPr fontId="104" type="noConversion"/>
  </si>
  <si>
    <t>5060 Overused Sick Lv Deduct</t>
    <phoneticPr fontId="104" type="noConversion"/>
  </si>
  <si>
    <t>5070 LSL Quota Compensation</t>
    <phoneticPr fontId="104" type="noConversion"/>
  </si>
  <si>
    <t>05.10.2019</t>
    <phoneticPr fontId="104" type="noConversion"/>
  </si>
  <si>
    <t>12.10.2019</t>
    <phoneticPr fontId="104" type="noConversion"/>
  </si>
  <si>
    <t>19.10.2019</t>
    <phoneticPr fontId="104" type="noConversion"/>
  </si>
  <si>
    <t>12.11.2019</t>
    <phoneticPr fontId="11" type="noConversion"/>
  </si>
  <si>
    <t>26.11.2019</t>
    <phoneticPr fontId="11" type="noConversion"/>
  </si>
  <si>
    <t>05.11.2019</t>
    <phoneticPr fontId="104" type="noConversion"/>
  </si>
  <si>
    <t>19.11.2019</t>
    <phoneticPr fontId="11" type="noConversion"/>
  </si>
  <si>
    <t>3297 Sick Lv Gov Payment</t>
    <phoneticPr fontId="11" type="noConversion"/>
  </si>
  <si>
    <t>9100 Long Sick Lv Accrual</t>
    <phoneticPr fontId="11" type="noConversion"/>
  </si>
  <si>
    <t>9120 Annual Lv Accrual</t>
    <phoneticPr fontId="11" type="noConversion"/>
  </si>
  <si>
    <t>9140 Executive Bonus Accrual</t>
    <phoneticPr fontId="11" type="noConversion"/>
  </si>
  <si>
    <t>9150 Severance Accrual</t>
    <phoneticPr fontId="11" type="noConversion"/>
  </si>
  <si>
    <t>Payroll Accrual</t>
    <phoneticPr fontId="11" type="noConversion"/>
  </si>
  <si>
    <t>3601 House Rental Fee</t>
    <phoneticPr fontId="11" type="noConversion"/>
  </si>
  <si>
    <t>18.01.2019</t>
    <phoneticPr fontId="11" type="noConversion"/>
  </si>
  <si>
    <t>01.01.2019</t>
    <phoneticPr fontId="11" type="noConversion"/>
  </si>
  <si>
    <t>USD</t>
    <phoneticPr fontId="11" type="noConversion"/>
  </si>
  <si>
    <t>ER Taxable Payment</t>
    <phoneticPr fontId="11" type="noConversion"/>
  </si>
  <si>
    <t>3602 House Rental Fee ER Taxable</t>
    <phoneticPr fontId="104" type="noConversion"/>
  </si>
  <si>
    <t>5V31 Visa/TRC Gross-up</t>
    <phoneticPr fontId="104" type="noConversion"/>
  </si>
  <si>
    <t>5V40 Net Private Medical Ins</t>
    <phoneticPr fontId="104" type="noConversion"/>
  </si>
  <si>
    <t>5V41 Net Utilities</t>
    <phoneticPr fontId="104" type="noConversion"/>
  </si>
  <si>
    <t>5V42 Net Superannuation</t>
    <phoneticPr fontId="104" type="noConversion"/>
  </si>
  <si>
    <t>Tax Paid by EE</t>
    <phoneticPr fontId="11" type="noConversion"/>
  </si>
  <si>
    <t>30.04.2019</t>
    <phoneticPr fontId="11" type="noConversion"/>
  </si>
  <si>
    <t>Taxable Before Exemptions</t>
    <phoneticPr fontId="11" type="noConversion"/>
  </si>
  <si>
    <t>Taxable After Exemptions</t>
    <phoneticPr fontId="11" type="noConversion"/>
  </si>
  <si>
    <t>Tax Paid by ER</t>
    <phoneticPr fontId="104" type="noConversion"/>
  </si>
  <si>
    <t>Tax Paid by EE</t>
    <phoneticPr fontId="11" type="noConversion"/>
  </si>
  <si>
    <t>01.04.2019</t>
    <phoneticPr fontId="104" type="noConversion"/>
  </si>
  <si>
    <t>5V31</t>
    <phoneticPr fontId="104" type="noConversion"/>
  </si>
  <si>
    <t>5V40</t>
    <phoneticPr fontId="104" type="noConversion"/>
  </si>
  <si>
    <t>5V41</t>
    <phoneticPr fontId="104" type="noConversion"/>
  </si>
  <si>
    <t>5V42</t>
    <phoneticPr fontId="104" type="noConversion"/>
  </si>
  <si>
    <t>Net BIK</t>
    <phoneticPr fontId="104" type="noConversion"/>
  </si>
  <si>
    <t>Gross Up BIK</t>
    <phoneticPr fontId="104" type="noConversion"/>
  </si>
  <si>
    <t>Taxable BIK</t>
    <phoneticPr fontId="104" type="noConversion"/>
  </si>
  <si>
    <t>1st Gross Up</t>
    <phoneticPr fontId="11" type="noConversion"/>
  </si>
  <si>
    <t>YTD Taxable Income</t>
    <phoneticPr fontId="11" type="noConversion"/>
  </si>
  <si>
    <t>YTD Taxable Income</t>
    <phoneticPr fontId="104" type="noConversion"/>
  </si>
  <si>
    <t>01.05.2019</t>
    <phoneticPr fontId="104" type="noConversion"/>
  </si>
  <si>
    <t>2100 Emergency Teaching Allowance</t>
    <phoneticPr fontId="104" type="noConversion"/>
  </si>
  <si>
    <t>YTD Taxable Income</t>
    <phoneticPr fontId="104" type="noConversion"/>
  </si>
  <si>
    <t>YTD Taxable Income</t>
    <phoneticPr fontId="104" type="noConversion"/>
  </si>
  <si>
    <t>Testing of OT for Annual Maxium OT Hours &amp; IT14 input for Absence Rate testing</t>
    <phoneticPr fontId="104" type="noConversion"/>
  </si>
  <si>
    <t>03.11.2019</t>
    <phoneticPr fontId="104" type="noConversion"/>
  </si>
  <si>
    <t>10.11.2019</t>
    <phoneticPr fontId="104" type="noConversion"/>
  </si>
  <si>
    <t>17.11.2019</t>
    <phoneticPr fontId="104" type="noConversion"/>
  </si>
  <si>
    <t>3113 13th Month Salary</t>
    <phoneticPr fontId="104" type="noConversion"/>
  </si>
  <si>
    <t>9131 13th Salar Accrual Reversal</t>
    <phoneticPr fontId="104" type="noConversion"/>
  </si>
  <si>
    <t>Testing of Annual Maximum OT Hours &amp; Overused AL</t>
    <phoneticPr fontId="104" type="noConversion"/>
  </si>
  <si>
    <t>2001</t>
    <phoneticPr fontId="104" type="noConversion"/>
  </si>
  <si>
    <t>Old Quota Balance</t>
    <phoneticPr fontId="11" type="noConversion"/>
  </si>
  <si>
    <t>New Quota Balance</t>
    <phoneticPr fontId="11" type="noConversion"/>
  </si>
  <si>
    <t>Last Working Day</t>
    <phoneticPr fontId="104" type="noConversion"/>
  </si>
  <si>
    <t>Y2020 Related Info.</t>
    <phoneticPr fontId="11" type="noConversion"/>
  </si>
  <si>
    <t>YEA Session</t>
    <phoneticPr fontId="104" type="noConversion"/>
  </si>
  <si>
    <t>Total Personnel Deduction</t>
    <phoneticPr fontId="104" type="noConversion"/>
  </si>
  <si>
    <t>Total DP Deduction</t>
    <phoneticPr fontId="104" type="noConversion"/>
  </si>
  <si>
    <t>YTD Accessable Income</t>
    <phoneticPr fontId="104" type="noConversion"/>
  </si>
  <si>
    <t>Monthly Average Accessable Income</t>
    <phoneticPr fontId="104" type="noConversion"/>
  </si>
  <si>
    <t>Monthly Average Tax</t>
    <phoneticPr fontId="104" type="noConversion"/>
  </si>
  <si>
    <t>Total Annual Tax</t>
    <phoneticPr fontId="104" type="noConversion"/>
  </si>
  <si>
    <t>Testing of 13th Month Salary &amp; Quota Generation &amp; YE &amp; New Exchange Rate</t>
    <phoneticPr fontId="104" type="noConversion"/>
  </si>
  <si>
    <t>RMIT</t>
    <phoneticPr fontId="11" type="noConversion"/>
  </si>
  <si>
    <t>Summer Xia</t>
    <phoneticPr fontId="11" type="noConversion"/>
  </si>
  <si>
    <t>Y2019 - Y2020</t>
    <phoneticPr fontId="11" type="noConversion"/>
  </si>
  <si>
    <t>UAT13</t>
    <phoneticPr fontId="104" type="noConversion"/>
  </si>
  <si>
    <t>Jan'20</t>
    <phoneticPr fontId="104" type="noConversion"/>
  </si>
  <si>
    <t>Days</t>
    <phoneticPr fontId="104" type="noConversion"/>
  </si>
  <si>
    <t>MasterData Assign Employee Income more than 20 times of Minimum Pay  -  IT0008</t>
    <phoneticPr fontId="11" type="noConversion"/>
  </si>
  <si>
    <t>1,2</t>
    <phoneticPr fontId="11" type="noConversion"/>
  </si>
  <si>
    <t>9,10</t>
    <phoneticPr fontId="11" type="noConversion"/>
  </si>
  <si>
    <t>1,2</t>
    <phoneticPr fontId="11" type="noConversion"/>
  </si>
  <si>
    <t>3,4</t>
    <phoneticPr fontId="11" type="noConversion"/>
  </si>
  <si>
    <t>Payment EE Remuneration - IT2010 Emergency Teaching Allowance</t>
    <phoneticPr fontId="11" type="noConversion"/>
  </si>
  <si>
    <t>9,10</t>
    <phoneticPr fontId="11" type="noConversion"/>
  </si>
  <si>
    <t>1,2,all</t>
    <phoneticPr fontId="11" type="noConversion"/>
  </si>
  <si>
    <t>Average salary of previous 6 months</t>
    <phoneticPr fontId="11" type="noConversion"/>
  </si>
  <si>
    <t>all</t>
    <phoneticPr fontId="11" type="noConversion"/>
  </si>
  <si>
    <t xml:space="preserve">Hourly rates of Pay  /004 </t>
    <phoneticPr fontId="11" type="noConversion"/>
  </si>
  <si>
    <t>11,12</t>
    <phoneticPr fontId="11" type="noConversion"/>
  </si>
  <si>
    <t>9,10</t>
    <phoneticPr fontId="11" type="noConversion"/>
  </si>
  <si>
    <t>6-12</t>
    <phoneticPr fontId="11" type="noConversion"/>
  </si>
  <si>
    <t>1</t>
    <phoneticPr fontId="104" type="noConversion"/>
  </si>
  <si>
    <t>2,7</t>
    <phoneticPr fontId="11" type="noConversion"/>
  </si>
  <si>
    <t>6,7</t>
    <phoneticPr fontId="11" type="noConversion"/>
  </si>
  <si>
    <t>Leave Provision - Annual Leave, LSL,Unpaid Leave</t>
    <phoneticPr fontId="11" type="noConversion"/>
  </si>
  <si>
    <t>Payment Absences - IT 2001  eg Annual, Personal, LSL etc.</t>
    <phoneticPr fontId="11" type="noConversion"/>
  </si>
  <si>
    <t>Payment Attendance - IT 2002 Time in Lieu &amp; OT &amp; PH Worked &amp; Casual Hours</t>
    <phoneticPr fontId="11" type="noConversion"/>
  </si>
  <si>
    <t>6-12</t>
    <phoneticPr fontId="11" type="noConversion"/>
  </si>
  <si>
    <t>Substitution - IT2003 Swap WSR impact salary</t>
    <phoneticPr fontId="11" type="noConversion"/>
  </si>
  <si>
    <t>General Index</t>
    <phoneticPr fontId="104" type="noConversion"/>
  </si>
  <si>
    <t>Testing of New Hires, Proration and Info Types 0008 and 0014 &amp; Quota Upfront for AL &amp; SL</t>
    <phoneticPr fontId="11" type="noConversion"/>
  </si>
  <si>
    <t>Testing of new Hires, proration, infotypes 008 &amp; 14
1. EE 91999909 start date end of prev month retro/prorate.</t>
    <phoneticPr fontId="104" type="noConversion"/>
  </si>
  <si>
    <t>UAT13 - Jan'20</t>
    <phoneticPr fontId="104" type="noConversion"/>
  </si>
  <si>
    <t>Gross Up</t>
    <phoneticPr fontId="11" type="noConversion"/>
  </si>
  <si>
    <t>1000</t>
  </si>
  <si>
    <t>Salary</t>
  </si>
  <si>
    <t>Nominal Salary</t>
  </si>
  <si>
    <t>Casual Hours Wage</t>
  </si>
  <si>
    <t>3525</t>
  </si>
  <si>
    <t>5V00</t>
  </si>
  <si>
    <t>MI Monthly Target</t>
  </si>
  <si>
    <t>5V01</t>
  </si>
  <si>
    <t>Monthly MI by ER</t>
  </si>
  <si>
    <t>5V02</t>
  </si>
  <si>
    <t>Monthly MI by EE</t>
  </si>
  <si>
    <t>5V08</t>
  </si>
  <si>
    <t>5V03</t>
  </si>
  <si>
    <t>Monthly MI by ER - DP</t>
  </si>
  <si>
    <t>5V04</t>
  </si>
  <si>
    <t>Monthly MI by EE - DP</t>
  </si>
  <si>
    <t>5V05</t>
  </si>
  <si>
    <t>DI Monthly Target</t>
  </si>
  <si>
    <t>5V06</t>
  </si>
  <si>
    <t>Monthly DI by EE</t>
  </si>
  <si>
    <t>5V07</t>
  </si>
  <si>
    <t>Monthly DI by EE - DP</t>
  </si>
  <si>
    <t>International Relocation Assistance</t>
  </si>
  <si>
    <t>Salary packaging reconciliation - Airfare</t>
  </si>
  <si>
    <t>Salary packaging reconciliation - School Fee</t>
  </si>
  <si>
    <t>13th Month Salary</t>
  </si>
  <si>
    <t>Mobile phone allowance</t>
  </si>
  <si>
    <t>Managerial Allowance</t>
  </si>
  <si>
    <t>Higher Duties Allowance</t>
  </si>
  <si>
    <t>5V10</t>
  </si>
  <si>
    <t>Merit payment</t>
  </si>
  <si>
    <t>3132</t>
  </si>
  <si>
    <t>Driving allowance</t>
  </si>
  <si>
    <t xml:space="preserve">Severance Pay  </t>
  </si>
  <si>
    <t>SP Base - Mannual</t>
  </si>
  <si>
    <t>SP Base</t>
  </si>
  <si>
    <t>YOS for SP</t>
  </si>
  <si>
    <t>YOS for SP - Manual</t>
  </si>
  <si>
    <t>SP Additional ER-taxed</t>
  </si>
  <si>
    <t>SP Additional EE-taxed</t>
  </si>
  <si>
    <t>Contribution to Social Security paid to employee by RMIT VN</t>
  </si>
  <si>
    <t>Long Sick Lv Accrual</t>
  </si>
  <si>
    <t>Annual Lv Accrual</t>
  </si>
  <si>
    <t>13th Salary Accrual</t>
  </si>
  <si>
    <t>13th Salar Accrual Reversal</t>
  </si>
  <si>
    <t>Executive Bonus Accrual</t>
  </si>
  <si>
    <t>Severance Accrual</t>
  </si>
  <si>
    <t>Emergency Teaching Allowance</t>
  </si>
  <si>
    <t>OT Weekday 150%</t>
  </si>
  <si>
    <t>OT Weekday Night 195%</t>
  </si>
  <si>
    <t>OT Weekend day 200%</t>
  </si>
  <si>
    <t>OT Weekend night 260%</t>
  </si>
  <si>
    <t xml:space="preserve">OT Holiday </t>
  </si>
  <si>
    <t>OT Holiday Night</t>
  </si>
  <si>
    <t>2410</t>
  </si>
  <si>
    <t>Maternity Lv vPay</t>
  </si>
  <si>
    <t>2411</t>
  </si>
  <si>
    <t>Parntl/Prentl/Miscar vPay</t>
  </si>
  <si>
    <t>ML Allow Paid by Social Security</t>
  </si>
  <si>
    <t>2 Months of MIN Base Pay</t>
  </si>
  <si>
    <t>ML Additional allow paid by ER</t>
  </si>
  <si>
    <t>Parntl/Prentl/Miscar Gov</t>
  </si>
  <si>
    <t xml:space="preserve">Parntl/Prentl/Miscar ER </t>
  </si>
  <si>
    <t>One-time Pay for VP</t>
  </si>
  <si>
    <t>AL Quota Compensation</t>
  </si>
  <si>
    <t>LSL Quota Compensation</t>
  </si>
  <si>
    <t>ChildCare Lv Gov Payment</t>
  </si>
  <si>
    <t>Sick Lv Gov Payment</t>
  </si>
  <si>
    <t>Overused Sick Lv Deduct</t>
  </si>
  <si>
    <t>Childcare Leave</t>
  </si>
  <si>
    <t>Leave Due to Miscarriage</t>
  </si>
  <si>
    <t>Accident Leave</t>
  </si>
  <si>
    <t>Adoption Leave</t>
  </si>
  <si>
    <t>Sick leave-SI compensation</t>
  </si>
  <si>
    <t>Sick Leave Without Pay - more than 90 days</t>
  </si>
  <si>
    <t>Leave Without Pay</t>
  </si>
  <si>
    <t>Leave Without Pay - more than 90 days</t>
  </si>
  <si>
    <t>Maternity Leave Unpaid</t>
  </si>
  <si>
    <t>Paternity Leave Unpaid</t>
  </si>
  <si>
    <t>Prenatal Check-Up</t>
  </si>
  <si>
    <t>3AB1</t>
  </si>
  <si>
    <t>Unpaid Lv Deduct – Base Pay</t>
  </si>
  <si>
    <t>3AB2</t>
  </si>
  <si>
    <t>Unpaid Lv Deduct – Allow</t>
  </si>
  <si>
    <t>House Rental Fee</t>
  </si>
  <si>
    <t>House Rental Fee ER Taxable</t>
  </si>
  <si>
    <t>5V40</t>
  </si>
  <si>
    <t>Net Private Medical Ins</t>
  </si>
  <si>
    <t>5V41</t>
  </si>
  <si>
    <t>Net Utilities</t>
  </si>
  <si>
    <t>5V42</t>
  </si>
  <si>
    <t>Net Superannuation</t>
  </si>
  <si>
    <t>5V31</t>
  </si>
  <si>
    <t>Visa/TRC Gross-up</t>
  </si>
  <si>
    <t>Compensation for breach of advanced notice</t>
  </si>
  <si>
    <t>7V30</t>
  </si>
  <si>
    <t xml:space="preserve">Super - ER Post Tax      </t>
  </si>
  <si>
    <t>/320</t>
  </si>
  <si>
    <t>CSI EE Contribution</t>
  </si>
  <si>
    <t>/340</t>
  </si>
  <si>
    <t>UI EE Contribution</t>
  </si>
  <si>
    <t>/350</t>
  </si>
  <si>
    <t>HI EE Contribution</t>
  </si>
  <si>
    <t>/400</t>
  </si>
  <si>
    <t>Tax</t>
  </si>
  <si>
    <t>/402</t>
  </si>
  <si>
    <t>PIT Finalization</t>
  </si>
  <si>
    <t>Auto</t>
    <phoneticPr fontId="11" type="noConversion"/>
  </si>
  <si>
    <t>0014</t>
    <phoneticPr fontId="11" type="noConversion"/>
  </si>
  <si>
    <t>0008</t>
    <phoneticPr fontId="11" type="noConversion"/>
  </si>
  <si>
    <t>0015</t>
    <phoneticPr fontId="11" type="noConversion"/>
  </si>
  <si>
    <t>Auto</t>
    <phoneticPr fontId="11" type="noConversion"/>
  </si>
  <si>
    <t>UAT1,2,8,9</t>
    <phoneticPr fontId="11" type="noConversion"/>
  </si>
  <si>
    <t>UAT3</t>
    <phoneticPr fontId="11" type="noConversion"/>
  </si>
  <si>
    <t>UAT13</t>
    <phoneticPr fontId="11" type="noConversion"/>
  </si>
  <si>
    <t>All</t>
    <phoneticPr fontId="11" type="noConversion"/>
  </si>
  <si>
    <t>UAT11</t>
    <phoneticPr fontId="11" type="noConversion"/>
  </si>
  <si>
    <t>UAT1,2</t>
    <phoneticPr fontId="11" type="noConversion"/>
  </si>
  <si>
    <t>UAT13</t>
    <phoneticPr fontId="11" type="noConversion"/>
  </si>
  <si>
    <t>0008</t>
    <phoneticPr fontId="11" type="noConversion"/>
  </si>
  <si>
    <t>Auto</t>
    <phoneticPr fontId="11" type="noConversion"/>
  </si>
  <si>
    <t>0014</t>
    <phoneticPr fontId="11" type="noConversion"/>
  </si>
  <si>
    <t>All</t>
    <phoneticPr fontId="11" type="noConversion"/>
  </si>
  <si>
    <t>2010</t>
    <phoneticPr fontId="11" type="noConversion"/>
  </si>
  <si>
    <t>UAT6</t>
    <phoneticPr fontId="11" type="noConversion"/>
  </si>
  <si>
    <t>UAT6,7</t>
    <phoneticPr fontId="11" type="noConversion"/>
  </si>
  <si>
    <t>UAT6,7,8,9,10,11,12</t>
    <phoneticPr fontId="11" type="noConversion"/>
  </si>
  <si>
    <t>UAT9,10</t>
    <phoneticPr fontId="11" type="noConversion"/>
  </si>
  <si>
    <t>UAT10</t>
    <phoneticPr fontId="11" type="noConversion"/>
  </si>
  <si>
    <t>Auto</t>
    <phoneticPr fontId="11" type="noConversion"/>
  </si>
  <si>
    <t>UAT3</t>
    <phoneticPr fontId="11" type="noConversion"/>
  </si>
  <si>
    <t>0416</t>
    <phoneticPr fontId="11" type="noConversion"/>
  </si>
  <si>
    <t>5050</t>
    <phoneticPr fontId="11" type="noConversion"/>
  </si>
  <si>
    <t>5070</t>
    <phoneticPr fontId="11" type="noConversion"/>
  </si>
  <si>
    <t>UAT11</t>
    <phoneticPr fontId="11" type="noConversion"/>
  </si>
  <si>
    <t>UAT9</t>
    <phoneticPr fontId="11" type="noConversion"/>
  </si>
  <si>
    <t>2376</t>
    <phoneticPr fontId="11" type="noConversion"/>
  </si>
  <si>
    <t>LSL Scheme 2 5yrs</t>
    <phoneticPr fontId="11" type="noConversion"/>
  </si>
  <si>
    <t>LSL Scheme 2 &gt;5yrs</t>
    <phoneticPr fontId="11" type="noConversion"/>
  </si>
  <si>
    <t>UAT3</t>
    <phoneticPr fontId="11" type="noConversion"/>
  </si>
  <si>
    <t>3298 ChildCare Lv Gov Payment</t>
    <phoneticPr fontId="11" type="noConversion"/>
  </si>
  <si>
    <t>UAT10</t>
    <phoneticPr fontId="11" type="noConversion"/>
  </si>
  <si>
    <t>UAT9,10</t>
    <phoneticPr fontId="11" type="noConversion"/>
  </si>
  <si>
    <t>UAT9,10</t>
    <phoneticPr fontId="11" type="noConversion"/>
  </si>
  <si>
    <t>0014</t>
    <phoneticPr fontId="11" type="noConversion"/>
  </si>
  <si>
    <t>UAT1,2,3,4</t>
    <phoneticPr fontId="11" type="noConversion"/>
  </si>
  <si>
    <t>UAT4</t>
    <phoneticPr fontId="11" type="noConversion"/>
  </si>
  <si>
    <t>UAT1,2</t>
    <phoneticPr fontId="11" type="noConversion"/>
  </si>
  <si>
    <t>Auto</t>
    <phoneticPr fontId="11" type="noConversion"/>
  </si>
  <si>
    <t>UAT13</t>
    <phoneticPr fontId="11" type="noConversion"/>
  </si>
  <si>
    <t>Trade Union</t>
    <phoneticPr fontId="11" type="noConversion"/>
  </si>
  <si>
    <t>7060 Trade Union</t>
    <phoneticPr fontId="11" type="noConversion"/>
  </si>
  <si>
    <t>Payroll  WTs</t>
    <phoneticPr fontId="11" type="noConversion"/>
  </si>
  <si>
    <t>TLM WTs</t>
    <phoneticPr fontId="11" type="noConversion"/>
  </si>
  <si>
    <t>PH Ordinary @ 1.0</t>
  </si>
  <si>
    <t>Overtime Ordinary @ 1.0</t>
  </si>
  <si>
    <t>OT Weekday Day @ 50%</t>
  </si>
  <si>
    <t>OT Weekday Night @ 95%</t>
  </si>
  <si>
    <t>OT Weekend Day @ 100%</t>
  </si>
  <si>
    <t>OT Weekend Night @ 160%</t>
  </si>
  <si>
    <t>PH Day @ 200%</t>
  </si>
  <si>
    <t>PH Night @ 290%</t>
  </si>
  <si>
    <t>Casual Hours</t>
  </si>
  <si>
    <t>Annual Leave</t>
  </si>
  <si>
    <t>Long Service Leave</t>
  </si>
  <si>
    <t>Leave Without Pay &gt; 90d</t>
  </si>
  <si>
    <t>Sick Leave Unpaid &gt; 90d</t>
  </si>
  <si>
    <t>Sick Leave - SI Comp</t>
  </si>
  <si>
    <t>Sick Leave</t>
  </si>
  <si>
    <t xml:space="preserve">Annual Leave             </t>
  </si>
  <si>
    <t xml:space="preserve">Long Service Leave       </t>
  </si>
  <si>
    <t>Time in Lieu</t>
  </si>
  <si>
    <t xml:space="preserve">Foreign Public Holiday </t>
  </si>
  <si>
    <t>Compassionate Leave</t>
  </si>
  <si>
    <t xml:space="preserve">Study Leave              </t>
  </si>
  <si>
    <t>Marriage of Employee</t>
  </si>
  <si>
    <t>Marriage of EmployeeChild</t>
  </si>
  <si>
    <t>Extended Sick Leave</t>
  </si>
  <si>
    <t>Overtime</t>
  </si>
  <si>
    <t>Public Holiday Worked</t>
  </si>
  <si>
    <t>WT2110 Overtime Ordinary @ 1.0</t>
    <phoneticPr fontId="104" type="noConversion"/>
  </si>
  <si>
    <t>UAT6,7,8,9,10,11,12</t>
    <phoneticPr fontId="11" type="noConversion"/>
  </si>
  <si>
    <t>UAT6,7</t>
    <phoneticPr fontId="11" type="noConversion"/>
  </si>
  <si>
    <t>2002</t>
    <phoneticPr fontId="11" type="noConversion"/>
  </si>
  <si>
    <t>UAT9,12</t>
    <phoneticPr fontId="11" type="noConversion"/>
  </si>
  <si>
    <t>UAT9</t>
    <phoneticPr fontId="11" type="noConversion"/>
  </si>
  <si>
    <t>Attendance</t>
  </si>
  <si>
    <t>Attendance</t>
    <phoneticPr fontId="104" type="noConversion"/>
  </si>
  <si>
    <t>2002</t>
    <phoneticPr fontId="104" type="noConversion"/>
  </si>
  <si>
    <t>01</t>
  </si>
  <si>
    <t>ADP: Manual Substitution</t>
  </si>
  <si>
    <t>2003</t>
    <phoneticPr fontId="11" type="noConversion"/>
  </si>
  <si>
    <t>2003</t>
    <phoneticPr fontId="104" type="noConversion"/>
  </si>
  <si>
    <t>Substitution</t>
    <phoneticPr fontId="104" type="noConversion"/>
  </si>
  <si>
    <t>Substitution</t>
  </si>
  <si>
    <t>TBD</t>
    <phoneticPr fontId="11" type="noConversion"/>
  </si>
  <si>
    <t>UAT6</t>
    <phoneticPr fontId="11" type="noConversion"/>
  </si>
  <si>
    <t>2001</t>
    <phoneticPr fontId="11" type="noConversion"/>
  </si>
  <si>
    <t>2230</t>
    <phoneticPr fontId="11" type="noConversion"/>
  </si>
  <si>
    <t>30% Shift Loading</t>
    <phoneticPr fontId="11" type="noConversion"/>
  </si>
  <si>
    <t>9100 LSL Accrual</t>
    <phoneticPr fontId="11" type="noConversion"/>
  </si>
  <si>
    <t>/402 PIT Finalization</t>
    <phoneticPr fontId="104" type="noConversion"/>
  </si>
  <si>
    <t>X</t>
    <phoneticPr fontId="11" type="noConversion"/>
  </si>
  <si>
    <t>Termination Date</t>
    <phoneticPr fontId="104" type="noConversion"/>
  </si>
  <si>
    <t>0416</t>
    <phoneticPr fontId="104" type="noConversion"/>
  </si>
  <si>
    <t>07.06.2019</t>
    <phoneticPr fontId="104" type="noConversion"/>
  </si>
  <si>
    <t>N/A</t>
    <phoneticPr fontId="104" type="noConversion"/>
  </si>
  <si>
    <t>3200 Sales Incentive</t>
    <phoneticPr fontId="104" type="noConversion"/>
  </si>
  <si>
    <t>0015</t>
    <phoneticPr fontId="104" type="noConversion"/>
  </si>
  <si>
    <t>01.07.2019</t>
    <phoneticPr fontId="104" type="noConversion"/>
  </si>
  <si>
    <t>0008</t>
    <phoneticPr fontId="11" type="noConversion"/>
  </si>
  <si>
    <t>01.10.2019</t>
    <phoneticPr fontId="11" type="noConversion"/>
  </si>
  <si>
    <t>Claim</t>
    <phoneticPr fontId="104" type="noConversion"/>
  </si>
  <si>
    <t>Testing of gross up &amp; Claim from Previous Month</t>
    <phoneticPr fontId="104" type="noConversion"/>
  </si>
  <si>
    <t>Testing of Termination &amp; SP &amp; Leave Encashment &amp; Constant change for 5V00</t>
    <phoneticPr fontId="104" type="noConversion"/>
  </si>
  <si>
    <t>/563 Claim from Previous Month</t>
    <phoneticPr fontId="104" type="noConversion"/>
  </si>
  <si>
    <t>3,4</t>
    <phoneticPr fontId="11" type="noConversion"/>
  </si>
  <si>
    <t>*/400 Taxation</t>
    <phoneticPr fontId="104" type="noConversion"/>
  </si>
  <si>
    <t>YTD accumulated OT &amp; TOIL</t>
    <phoneticPr fontId="104" type="noConversion"/>
  </si>
  <si>
    <t>Testing of Salary Increase &amp; OT &amp; Time in Lieu &amp; Emergency Teaching Allowance &amp; Contract Ends &amp; Leave encashment &amp; Retro Dependent Change</t>
    <phoneticPr fontId="104" type="noConversion"/>
  </si>
  <si>
    <t>Testing of Salary Increase &amp; OT &amp; Time in Lieu &amp; Emergency Teaching Allowance &amp; Contract Ends &amp; Leave encashment &amp; Retro Dependent Change
1. EE 91999904 salary increase and org trans in the mid of month.
2. EE 91999912 salary increase from early in the month.
3. EE 91999914 hourly salary increase in middle of the month.
4. EE 91999904 OT on PH &amp; daily maximum OT hours.
5. EE 91999912 OT on weekend &amp; monthly maximum OT hours &amp; mid-night OT.
6. EE 91999901 time in lieu rule 01.
7. EE 91999909 time in lieu rule 02.
8. EE 91999908 IT2010 WT2100 Emergency Teaching Allowance.
9. EE 91999903 terminated as contract ends.
10. EE 91999903 depedent number changed from 1 to 0 from Jan.</t>
    <phoneticPr fontId="104" type="noConversion"/>
  </si>
  <si>
    <t>Testing of Full Month Absences with PH &amp; Gov Paid Lv. &amp; Return for Work
1. EE 91999903 full month absence w/o pay, PH unpaid.
2. EE 91999907 not full month absence, PH paid.
3. EE 91999902 &amp; 91999903 &amp; 91999904 &amp; 91999907 &amp; 91999913 Gov. paid allowance.
4. EE 91999903 &amp; 91999904 &amp; 91999907 maternity leave adjustment by ER.
5. EE 91999910 Parntl/Prentl/Miscar adjustment by ER.
6. EE 91999904 claim due to unpaid leave.</t>
    <phoneticPr fontId="104" type="noConversion"/>
  </si>
  <si>
    <t>Testing of Termination &amp; SP &amp; Leave Encashment &amp; Constant change for 5V00
1. EE 91999902 &amp; 91999913 terminated before month end.
2. EE 91999907 termianted at month end.
3. EE 91999902 overused SL quota &amp; LSL quota 70 encashment.
4. EE 91999907 standard SP with WT9032 &amp; 9034 input.
5. EE 91999902 ER taxed SP.
6. EE 91999913 EE taxed SP.
7. EE 91999906 constant for WT5V00 switch to 366 instead of 365.</t>
    <phoneticPr fontId="104" type="noConversion"/>
  </si>
  <si>
    <t>1. UAT testing plan updated according to latest project time line.
2. Index List, General Index and Summary updated.
3. UAT1 - 13 Factor /803 and WT9113 calculation rule updated.
4. UAT1 - 13 Maximum OT &amp; Time in Lieu hours updated.
5. Quota 81 removed and foreign PH is paid leave without quotation.
6. EE91999903
- Changed to rehire case 
- Retro dependent change and tax retro calculation
- Terminated EE with additional payments
- AL entitlement upfront based on year-end instead of contract end date</t>
    <phoneticPr fontId="11" type="noConversion"/>
  </si>
  <si>
    <t>*Active Working Days</t>
    <phoneticPr fontId="11" type="noConversion"/>
  </si>
  <si>
    <t>*Active Calendar Days</t>
    <phoneticPr fontId="11" type="noConversion"/>
  </si>
  <si>
    <t>*Factoring 801</t>
    <phoneticPr fontId="11" type="noConversion"/>
  </si>
  <si>
    <t>*5V00 MI Monthly Target</t>
    <phoneticPr fontId="11" type="noConversion"/>
  </si>
  <si>
    <t>*5V05 DI Monthly Target</t>
    <phoneticPr fontId="11" type="noConversion"/>
  </si>
  <si>
    <t>*5V01 Monthly MI by ER</t>
    <phoneticPr fontId="11" type="noConversion"/>
  </si>
  <si>
    <t>*5V03 Monthly MI by ER - DP</t>
    <phoneticPr fontId="11" type="noConversion"/>
  </si>
  <si>
    <t>Claim</t>
    <phoneticPr fontId="104" type="noConversion"/>
  </si>
  <si>
    <t>0008</t>
    <phoneticPr fontId="104" type="noConversion"/>
  </si>
  <si>
    <t>01.12.2019</t>
    <phoneticPr fontId="104" type="noConversion"/>
  </si>
  <si>
    <t>31.12.9999</t>
    <phoneticPr fontId="104" type="noConversion"/>
  </si>
  <si>
    <t>*1100 Higher Duties Allowance</t>
    <phoneticPr fontId="11" type="noConversion"/>
  </si>
  <si>
    <t>*9113 13th Salary Cumulation</t>
    <phoneticPr fontId="11" type="noConversion"/>
  </si>
  <si>
    <t>D</t>
    <phoneticPr fontId="104" type="noConversion"/>
  </si>
  <si>
    <t>*/400 Taxation</t>
    <phoneticPr fontId="104" type="noConversion"/>
  </si>
  <si>
    <t>*Tax Paid by EE</t>
    <phoneticPr fontId="11" type="noConversion"/>
  </si>
  <si>
    <t>/563 Claim from previous</t>
    <phoneticPr fontId="104" type="noConversion"/>
  </si>
  <si>
    <t>D</t>
    <phoneticPr fontId="104" type="noConversion"/>
  </si>
  <si>
    <t>Testing of Annual Maximum OT Hours &amp; Overused AL
1. EE 91999905 AL overused and negative quota balance generated.
2. EE 91999912 annual OT hours capped at 200 hours.
3. EE 91999904 retro terminated case with claim,</t>
    <phoneticPr fontId="104" type="noConversion"/>
  </si>
  <si>
    <t>Testing of gross up &amp; Claim from Previous Month
1. EE 91999906 &amp; EE 91999907 with WT3601 input for WT3602 calculation.
2. EE 91999901 &amp; EE 91999904 without WT3601 input for WT3602 calculation.
3. EE 91999904 claim from previous month.
4. EE 91999904 retro input of ER taxed WT.</t>
    <phoneticPr fontId="104" type="noConversion"/>
  </si>
  <si>
    <t>1</t>
    <phoneticPr fontId="104" type="noConversion"/>
  </si>
  <si>
    <t>0008</t>
    <phoneticPr fontId="104" type="noConversion"/>
  </si>
  <si>
    <t>01.05.2019</t>
    <phoneticPr fontId="104" type="noConversion"/>
  </si>
  <si>
    <t>31.12.9999</t>
    <phoneticPr fontId="104" type="noConversion"/>
  </si>
  <si>
    <t>1</t>
    <phoneticPr fontId="11" type="noConversion"/>
  </si>
  <si>
    <t>1</t>
    <phoneticPr fontId="11" type="noConversion"/>
  </si>
  <si>
    <t>04.05.2019</t>
    <phoneticPr fontId="104" type="noConversion"/>
  </si>
  <si>
    <t>Testing of Casual Hours on PH &amp; Weekend
1. EE 91999906 casual hours on PH and weekend.
2. EE 9199907's DP become 18 yr old.
3. EE 91999914 changed to Permanent.</t>
    <phoneticPr fontId="104" type="noConversion"/>
  </si>
  <si>
    <t>3000 Leave without Pay</t>
    <phoneticPr fontId="104" type="noConversion"/>
  </si>
  <si>
    <t>2001</t>
    <phoneticPr fontId="104" type="noConversion"/>
  </si>
  <si>
    <t>10.12.2019</t>
    <phoneticPr fontId="11" type="noConversion"/>
  </si>
  <si>
    <t>24.12.2019</t>
    <phoneticPr fontId="11" type="noConversion"/>
  </si>
  <si>
    <t>03.12.2019</t>
    <phoneticPr fontId="104" type="noConversion"/>
  </si>
  <si>
    <t>17.12.2019</t>
    <phoneticPr fontId="11" type="noConversion"/>
  </si>
  <si>
    <t>*YTD Taxable Income</t>
    <phoneticPr fontId="104" type="noConversion"/>
  </si>
  <si>
    <t>1. UAT12 EE91999904 retro termination case added.
2. UAT13 EE91999901 retro salary increase for WT3113.
3. UAT9 EE91999902 LWOP case for WT5V03
4. UAT4 EE91999904 retro ER taxed WT input.
5. UAT5 EE91999914 changed from Casual to Permanent.
6. UAT8 EE91999914 changed back to Casual.
7. UAT13 EE91999912 retro LWOP for previous tax year.</t>
    <phoneticPr fontId="11" type="noConversion"/>
  </si>
  <si>
    <t>Last Working Day</t>
    <phoneticPr fontId="104" type="noConversion"/>
  </si>
  <si>
    <t>1. UAT13 EE91999909 termination in Jan'20 for current year WT3113 payout,</t>
    <phoneticPr fontId="11" type="noConversion"/>
  </si>
  <si>
    <t>Testing of 13th Month Salary &amp; Quota Generation &amp; YE &amp; New Exchange Rate
1. WT9131 generation
2. EE 91999901 &amp; 91999909 &amp;91999910 &amp; 91999911 WT3113 generation.
3. EE 91999905 overused AL balance was deducted from new AL quota.
4. YE for Y2019 simulation.
5. EE 91999903 rehire case for YE calculation.
6. EE 91999901 retro salary increase for WT3113 testing.
7. EE 91999912 retro LWOP for previous year.
8. EE 91999909 terminated in Jan'20 for WT3113 of current year testing.</t>
    <phoneticPr fontId="104" type="noConversion"/>
  </si>
  <si>
    <t>1.0</t>
    <phoneticPr fontId="11" type="noConversion"/>
  </si>
  <si>
    <t>3100 Driving allowance</t>
    <phoneticPr fontId="11" type="noConversion"/>
  </si>
  <si>
    <t>1. All - Foreigner EE's Insurance Salary formula updated.
2. All - WT7060 moved to ER contribution.
3. All - WT5V02, WT5V04, WT5V06 &amp; WT5V07 moved to net deduction item from taxable income.
4. UAT1, 2 - WT3100 marked as SI Base.
5. All - FTE% in IT0007 updated to 100% and LSL accrual removed for Casual Hours EEs.
6. All - Capping of CSI &amp; HI updated.
7. UAT13 - Taxable Income for ER Tax gross up removed from YTD taxable income.</t>
    <phoneticPr fontId="11" type="noConversion"/>
  </si>
  <si>
    <t>FA-HR</t>
    <phoneticPr fontId="11" type="noConversion"/>
  </si>
  <si>
    <t>PSV1</t>
    <phoneticPr fontId="11" type="noConversion"/>
  </si>
  <si>
    <t>2300</t>
    <phoneticPr fontId="11" type="noConversion"/>
  </si>
  <si>
    <t>/491 EE Personal Tax Exemption</t>
    <phoneticPr fontId="11" type="noConversion"/>
  </si>
  <si>
    <t>/492 Dependant Tax Exemption</t>
    <phoneticPr fontId="11" type="noConversion"/>
  </si>
  <si>
    <t>/031 6 Mth Aver Salary</t>
    <phoneticPr fontId="11" type="noConversion"/>
  </si>
  <si>
    <t>04</t>
    <phoneticPr fontId="11" type="noConversion"/>
  </si>
  <si>
    <t>01.01.2019</t>
    <phoneticPr fontId="11" type="noConversion"/>
  </si>
  <si>
    <t>VN001001</t>
    <phoneticPr fontId="11" type="noConversion"/>
  </si>
  <si>
    <t>P5360000</t>
    <phoneticPr fontId="104" type="noConversion"/>
  </si>
  <si>
    <t>C0000000</t>
  </si>
  <si>
    <t>;L</t>
    <phoneticPr fontId="11" type="noConversion"/>
  </si>
  <si>
    <t>/430 Taxable Before Exemptions</t>
    <phoneticPr fontId="11" type="noConversion"/>
  </si>
  <si>
    <t>/106 Taxable Income</t>
    <phoneticPr fontId="11" type="noConversion"/>
  </si>
  <si>
    <t>/179 Contract Salary</t>
    <phoneticPr fontId="11" type="noConversion"/>
  </si>
  <si>
    <t>Foreigner Contract Salary</t>
    <phoneticPr fontId="11" type="noConversion"/>
  </si>
  <si>
    <t>Testing of Absences &amp; LSL
1. EE 91999907 &amp; 91999910 1st 5 year service reached and WT2375 calculated based on IT2012 input.
2. EE 91999901 Fix 5 year reached and WT2376 calculated based on IT2012 input.
3. EE 91999903 &amp; 91999907 on maternity leave for vPay.
4. EE 91999902 &amp; 91999910 &amp; 91999911 for Parntl/Prentl/Miscar vPay.
5. EE 91999910 &amp; 91999912 &amp; 91999913's AL &amp; SL quota influenced by LWOP. 13th month salary influenced by LWOP. LSL quota accrual impacted.
6. EE 91999903 &amp; 91999907 YOS for SP from maternity leave.
7. EE 91999902 LWOP for WT5V03.</t>
  </si>
  <si>
    <t>B3</t>
    <phoneticPr fontId="11" type="noConversion"/>
  </si>
  <si>
    <t>VB-HR</t>
  </si>
  <si>
    <t>09.01.2019</t>
    <phoneticPr fontId="11" type="noConversion"/>
  </si>
  <si>
    <t>9113 13th Salary Accrual</t>
    <phoneticPr fontId="11" type="noConversion"/>
  </si>
  <si>
    <t>YOS for SP</t>
    <phoneticPr fontId="104" type="noConversion"/>
  </si>
  <si>
    <t>Configurer</t>
    <phoneticPr fontId="104" type="noConversion"/>
  </si>
  <si>
    <t>The YOS for SP should be calculated until 2009.01.01</t>
    <phoneticPr fontId="104" type="noConversion"/>
  </si>
  <si>
    <t>N/A</t>
    <phoneticPr fontId="104" type="noConversion"/>
  </si>
  <si>
    <t>WT9113 13th month salary accrual</t>
    <phoneticPr fontId="104" type="noConversion"/>
  </si>
  <si>
    <t>The WT9113 was not generated</t>
    <phoneticPr fontId="104" type="noConversion"/>
  </si>
  <si>
    <t>‘</t>
    <phoneticPr fontId="11" type="noConversion"/>
  </si>
  <si>
    <t>0015</t>
    <phoneticPr fontId="11" type="noConversion"/>
  </si>
  <si>
    <t>01.01.2019</t>
    <phoneticPr fontId="11" type="noConversion"/>
  </si>
  <si>
    <t>Days</t>
    <phoneticPr fontId="11" type="noConversion"/>
  </si>
  <si>
    <t>*/171 Insurance Salary</t>
    <phoneticPr fontId="11" type="noConversion"/>
  </si>
  <si>
    <t>*/179 Contract Salary</t>
    <phoneticPr fontId="11" type="noConversion"/>
  </si>
  <si>
    <t>P5200000</t>
  </si>
  <si>
    <t>Capacity Level</t>
    <phoneticPr fontId="11" type="noConversion"/>
  </si>
  <si>
    <r>
      <t xml:space="preserve">1. WT5V04 formula updated according to BPCW v1.5.
2. WT9200 &amp; WT9201&amp; WT9220 input for SP YOS calculation.
3. Changed flat rate tax base to WT/430.
4. WT/179 accumulation formula updated.
5. WT9113 formula changed according to BPCW v1.5.
6. WT/031 will be equal to WT/171 in EE's first payroll cycle in system.
7. Removed Quota 71 input in UAT1.
8. WT9140 rate will be divided by 10 for input, e.g. if input is 0.76, then 0.076 will be used during system calculation.
9. WT3601 changed to non-payable WT.
10. Rate /002 formula updated as hourly rate according to latest BPCW.
11. Annual total working days for Y2019 changed to 261 for calculation of Factor /803 &amp; WT9140.
12. Part-time EE's Base Salary &amp; HDA &amp; Managerial Allowance &amp; Allowances under IT0014 should be multiplied by FTE%.
</t>
    </r>
    <r>
      <rPr>
        <b/>
        <sz val="10"/>
        <rFont val="Arial Narrow"/>
        <family val="2"/>
      </rPr>
      <t xml:space="preserve">Note: </t>
    </r>
    <r>
      <rPr>
        <sz val="10"/>
        <rFont val="Arial Narrow"/>
        <family val="2"/>
      </rPr>
      <t>In actual system calculation, FTE% will be combined with Factor /801 &amp; Factor /803 for most of the WTs. e.g. If EE's FTE% = 80%, the total working days in the month is 20 and EE has been active 10 days in the month. Then Factor /801 should be 10 / 20 * 80% = 0.4.
But we will have got two exceptions, WT9032 SP Base and WT/171 ( WT/179). For those WTs, the calculation doesn't involve WT/801, therefore, FTE% will be applied for those WTs separately.</t>
    </r>
    <phoneticPr fontId="11" type="noConversion"/>
  </si>
  <si>
    <t>*Rate 001</t>
    <phoneticPr fontId="11" type="noConversion"/>
  </si>
  <si>
    <t>*Rate 002</t>
    <phoneticPr fontId="11" type="noConversion"/>
  </si>
  <si>
    <t>*Rate 003</t>
    <phoneticPr fontId="11" type="noConversion"/>
  </si>
  <si>
    <t>*Rate 004</t>
    <phoneticPr fontId="11" type="noConversion"/>
  </si>
  <si>
    <t>*9120 Annual Lv Accrual</t>
    <phoneticPr fontId="11" type="noConversion"/>
  </si>
  <si>
    <t>*/031 6 Mth Aver Salary</t>
    <phoneticPr fontId="11" type="noConversion"/>
  </si>
  <si>
    <t>Payroll YTD Accrual</t>
    <phoneticPr fontId="11" type="noConversion"/>
  </si>
  <si>
    <t>9141 Exec Bonus Accr Reversal</t>
    <phoneticPr fontId="104" type="noConversion"/>
  </si>
  <si>
    <t>/106 Taxable Income</t>
    <phoneticPr fontId="11" type="noConversion"/>
  </si>
  <si>
    <t>Testing of Info Type 0015 &amp; Claim &amp; WT9140 &amp; WT9141</t>
    <phoneticPr fontId="104" type="noConversion"/>
  </si>
  <si>
    <t>Testing of Info Type 0015 &amp; Claim
1. EE 91999914 claim due to overdeduction.</t>
    <phoneticPr fontId="104" type="noConversion"/>
  </si>
  <si>
    <t>/400 Tax Paid by EE</t>
    <phoneticPr fontId="11" type="noConversion"/>
  </si>
  <si>
    <t>Total Tax</t>
    <phoneticPr fontId="11" type="noConversion"/>
  </si>
  <si>
    <t>9802 Visa/TRC Gross-up Tax</t>
    <phoneticPr fontId="104" type="noConversion"/>
  </si>
  <si>
    <t>08.01.2019</t>
    <phoneticPr fontId="11" type="noConversion"/>
  </si>
  <si>
    <t>9010 SI Factoring</t>
    <phoneticPr fontId="11" type="noConversion"/>
  </si>
  <si>
    <t>1. WT9140 &amp; WT9150 accrual changed from monthly accrual to YTD accrual.
2. WT3100 Driving Allowance changed to proration WT. WT3100 added for EE91999903 for UAT1 &amp; 2 for new hire proration testing.
3. SI Base factoring WT9010 added.</t>
    <phoneticPr fontId="11" type="noConversion"/>
  </si>
  <si>
    <t>UAT1</t>
    <phoneticPr fontId="104" type="noConversion"/>
  </si>
  <si>
    <t>Jan</t>
    <phoneticPr fontId="104" type="noConversion"/>
  </si>
  <si>
    <t>FTE Proration</t>
    <phoneticPr fontId="104" type="noConversion"/>
  </si>
  <si>
    <t>FTE Proration should be applied for base salary and allowances calculation</t>
    <phoneticPr fontId="104" type="noConversion"/>
  </si>
  <si>
    <t>Y</t>
    <phoneticPr fontId="104" type="noConversion"/>
  </si>
  <si>
    <t>The rule has been applied for payroll calculation, the PECI interface file is pending for testing</t>
    <phoneticPr fontId="104" type="noConversion"/>
  </si>
  <si>
    <t>LC</t>
    <phoneticPr fontId="104" type="noConversion"/>
  </si>
  <si>
    <t>CR</t>
    <phoneticPr fontId="104" type="noConversion"/>
  </si>
  <si>
    <t>2nd Gross Up</t>
    <phoneticPr fontId="104" type="noConversion"/>
  </si>
  <si>
    <t>Ex-gratia Payment</t>
  </si>
  <si>
    <t>FA &amp; FW Allowance</t>
  </si>
  <si>
    <t>0014</t>
    <phoneticPr fontId="11" type="noConversion"/>
  </si>
  <si>
    <t>0015</t>
    <phoneticPr fontId="11" type="noConversion"/>
  </si>
  <si>
    <t>UAT1,2</t>
    <phoneticPr fontId="11" type="noConversion"/>
  </si>
  <si>
    <t>UAT3</t>
    <phoneticPr fontId="11" type="noConversion"/>
  </si>
  <si>
    <t>3160 FA &amp; FW Allowance</t>
    <phoneticPr fontId="11" type="noConversion"/>
  </si>
  <si>
    <t>08.01.2019</t>
    <phoneticPr fontId="11" type="noConversion"/>
  </si>
  <si>
    <t>28.02.2019</t>
    <phoneticPr fontId="11" type="noConversion"/>
  </si>
  <si>
    <t>01.01.2019</t>
    <phoneticPr fontId="11" type="noConversion"/>
  </si>
  <si>
    <t>USD</t>
    <phoneticPr fontId="11" type="noConversion"/>
  </si>
  <si>
    <t>3150 Ex-gratia Payment</t>
    <phoneticPr fontId="104" type="noConversion"/>
  </si>
  <si>
    <t>USD</t>
    <phoneticPr fontId="104" type="noConversion"/>
  </si>
  <si>
    <t>1002 Nominal Salary - 2</t>
    <phoneticPr fontId="11" type="noConversion"/>
  </si>
  <si>
    <t>1001 Nominal Salary - 1</t>
    <phoneticPr fontId="11" type="noConversion"/>
  </si>
  <si>
    <t>*1001 Nominal Salary - 1</t>
    <phoneticPr fontId="11" type="noConversion"/>
  </si>
  <si>
    <t>*1002 Nominal Salary - 2</t>
    <phoneticPr fontId="11" type="noConversion"/>
  </si>
  <si>
    <t>9USD</t>
  </si>
  <si>
    <t>1. WT5V05 DI Target Amount deleted for all local staff.
2. WT1100 Higher Duties Allowance &amp; WT1102 Managerial Allowance have been added into EE's SP base for foreigner Ees.
3. 9FXU for SI has been changed to 23,500.
4. WT1001 for foreigner EE has been updated.
5. EE91999902 &amp; EE91999909 's FTE% changed to 50%. 
6. WT5V01 removed from WT/106 Taxable Income.
7. Changed EE91999913 &amp; EE91999914's Payscale Type to Local since they are local staff.
8. Updated Rates 001 - 004 according to lastest BP.
9. WT9150 added as IT0014 input for EE91999902, EE9199907 &amp; EE91999913.</t>
  </si>
  <si>
    <t>Testing of new Hires, proration, infotypes 008 &amp; 14 &amp; AL/SL quota generation
1. EE 91999903 start date early in the month proration.
2. EE 91999908 start date mid of the month proration &amp; SI contribution.
3. EE 91999907 foreigner EE has two DPs and one of them is under 18 yr old. And foreigner EE's insurance salary is coverted by 9FXU.
4. EE 91999911 EE's insurance salary is capped as 20 times of minimum salary (83,600,000 VND).
5. EE 91999902 EE's LSL quota balance  for schema 1 is loaded by IT2006.
6. EE 91999905 time flag IT2012 for LSL schema 1.
7. EE 91999903 with DT VZ on 07.06.2019 and quota generation is based on year end.</t>
  </si>
  <si>
    <t>9FXU</t>
  </si>
  <si>
    <t>1. WT5V10 Merit Pay has been included into Rate /002
2. WT3160 FA &amp; FW Allowance has been added into UAT1 &amp; UAT2 for testing.
3. WT3150 Ex-gratia Payment has been added into UAT3 for testing.
4. Formula for LSL accrual has been rectfied.
5. FTE has been add in WT9140 calculation.
6. WT9150 is prorated by working days.
7. FTE removed for WT5V07.
8. Adding new WT1002 for nominal salary calculation. 
The general formula of WT1002 is (unprorated WT1000 - WT7065 school Fee / FTE - WT7070 Home Leave Airfare / FTE).</t>
    <phoneticPr fontId="11" type="noConversion"/>
  </si>
  <si>
    <t>N</t>
    <phoneticPr fontId="104" type="noConversion"/>
  </si>
  <si>
    <t>2.0</t>
    <phoneticPr fontId="11" type="noConversion"/>
  </si>
  <si>
    <t>UAT1 signoff</t>
    <phoneticPr fontId="11" type="noConversion"/>
  </si>
  <si>
    <t>2.1</t>
    <phoneticPr fontId="11" type="noConversion"/>
  </si>
  <si>
    <t>UAT2 T1 release</t>
    <phoneticPr fontId="11" type="noConversion"/>
  </si>
  <si>
    <t>UAT2</t>
    <phoneticPr fontId="104" type="noConversion"/>
  </si>
  <si>
    <t>Feb</t>
    <phoneticPr fontId="104" type="noConversion"/>
  </si>
  <si>
    <t>Duplicated Quota Balance</t>
    <phoneticPr fontId="104" type="noConversion"/>
  </si>
  <si>
    <t>Config</t>
    <phoneticPr fontId="104" type="noConversion"/>
  </si>
  <si>
    <t>Time LC</t>
    <phoneticPr fontId="104" type="noConversion"/>
  </si>
  <si>
    <t>The quota balance and unused quota hours are duplicated</t>
    <phoneticPr fontId="104" type="noConversion"/>
  </si>
  <si>
    <t>Needs to check time configuration</t>
    <phoneticPr fontId="104" type="noConversion"/>
  </si>
  <si>
    <t>N</t>
    <phoneticPr fontId="104" type="noConversion"/>
  </si>
  <si>
    <t>N/A</t>
    <phoneticPr fontId="104" type="noConversion"/>
  </si>
  <si>
    <t>2.2</t>
    <phoneticPr fontId="11" type="noConversion"/>
  </si>
  <si>
    <t>1. If EE doesn't have value of WT/320 &amp; WT/321 (CSI EE &amp; ER), then WT7060 is not calculated.</t>
    <phoneticPr fontId="11" type="noConversion"/>
  </si>
  <si>
    <t>9100 LSL Accrual</t>
    <phoneticPr fontId="11" type="noConversion"/>
  </si>
  <si>
    <t>3.0</t>
    <phoneticPr fontId="11" type="noConversion"/>
  </si>
  <si>
    <t>UAT2 signoff</t>
    <phoneticPr fontId="11" type="noConversion"/>
  </si>
  <si>
    <t>3.1</t>
    <phoneticPr fontId="11" type="noConversion"/>
  </si>
  <si>
    <t>UAT3 T1 release
WT9100 changed to Long Service Leave accrual</t>
    <phoneticPr fontId="11" type="noConversion"/>
  </si>
  <si>
    <t>N</t>
    <phoneticPr fontId="104" type="noConversion"/>
  </si>
  <si>
    <t>X</t>
    <phoneticPr fontId="104" type="noConversion"/>
  </si>
  <si>
    <t>X</t>
    <phoneticPr fontId="104" type="noConversion"/>
  </si>
  <si>
    <t>3.2</t>
    <phoneticPr fontId="11" type="noConversion"/>
  </si>
  <si>
    <t>UAT3</t>
    <phoneticPr fontId="104" type="noConversion"/>
  </si>
  <si>
    <t>Mar</t>
    <phoneticPr fontId="104" type="noConversion"/>
  </si>
  <si>
    <t>LC</t>
    <phoneticPr fontId="104" type="noConversion"/>
  </si>
  <si>
    <t>When the  Sal. Pack. Recon. - Airfare &amp; School Fee is deduction it should be non-taxable</t>
    <phoneticPr fontId="104" type="noConversion"/>
  </si>
  <si>
    <t>Create new WTs for  Sal. Pack. Recon. - Airfare &amp; School Fee</t>
    <phoneticPr fontId="104" type="noConversion"/>
  </si>
  <si>
    <t>Y</t>
    <phoneticPr fontId="104" type="noConversion"/>
  </si>
  <si>
    <t>Sal. Pack. Recon. - Airfare &amp; School Fee</t>
    <phoneticPr fontId="104" type="noConversion"/>
  </si>
  <si>
    <t>1. WT3299 changed to non-taxable and marked as deduction WT.
2. Removed negative amount of WT3015 &amp; WT3016.</t>
    <phoneticPr fontId="11" type="noConversion"/>
  </si>
  <si>
    <t>4.0</t>
    <phoneticPr fontId="11" type="noConversion"/>
  </si>
  <si>
    <t>UAT3 signoff</t>
    <phoneticPr fontId="11" type="noConversion"/>
  </si>
  <si>
    <t>N</t>
    <phoneticPr fontId="104" type="noConversion"/>
  </si>
  <si>
    <t>EE changed to Permanent from May 1st</t>
    <phoneticPr fontId="104" type="noConversion"/>
  </si>
  <si>
    <t>Standard Payroll Processing</t>
    <phoneticPr fontId="104" type="noConversion"/>
  </si>
  <si>
    <t>5.1</t>
    <phoneticPr fontId="11" type="noConversion"/>
  </si>
  <si>
    <t>EE's DP become 18 year old in May'19</t>
    <phoneticPr fontId="104" type="noConversion"/>
  </si>
  <si>
    <t>UAT4</t>
    <phoneticPr fontId="104" type="noConversion"/>
  </si>
  <si>
    <t>Apr</t>
    <phoneticPr fontId="104" type="noConversion"/>
  </si>
  <si>
    <t>Gross Up</t>
    <phoneticPr fontId="104" type="noConversion"/>
  </si>
  <si>
    <t>LC</t>
    <phoneticPr fontId="104" type="noConversion"/>
  </si>
  <si>
    <t>System performance on Gross-up is defact, has sent to Product Team for further checking</t>
    <phoneticPr fontId="104" type="noConversion"/>
  </si>
  <si>
    <t>Wait for Product Team's feedback</t>
    <phoneticPr fontId="104" type="noConversion"/>
  </si>
  <si>
    <t>N</t>
    <phoneticPr fontId="104" type="noConversion"/>
  </si>
  <si>
    <t>N/A</t>
    <phoneticPr fontId="104" type="noConversion"/>
  </si>
  <si>
    <t>UAT5</t>
    <phoneticPr fontId="104" type="noConversion"/>
  </si>
  <si>
    <t>May</t>
    <phoneticPr fontId="104" type="noConversion"/>
  </si>
  <si>
    <t>Quota generation for EE transferred from EE group C to 1</t>
    <phoneticPr fontId="104" type="noConversion"/>
  </si>
  <si>
    <t>Time LC</t>
    <phoneticPr fontId="104" type="noConversion"/>
  </si>
  <si>
    <t>EE91999914 transferred to EE group 1 from 01.05.2019, but the quota generation for AL and SL is incorrect</t>
    <phoneticPr fontId="104" type="noConversion"/>
  </si>
  <si>
    <t>Wait for Time LC's check</t>
    <phoneticPr fontId="104" type="noConversion"/>
  </si>
  <si>
    <t>UAT4 - 5 T1 release
1. Gross-up testing removed from UAT4 due to system defact, thus UAT4 changed to Standard Payroll Processing Cycle.</t>
    <phoneticPr fontId="11" type="noConversion"/>
  </si>
  <si>
    <t>Casual Hours on PH is not counted</t>
    <phoneticPr fontId="104" type="noConversion"/>
  </si>
  <si>
    <t>EE9199906 has casual hours on 01.05.2019 but it's not counted during time evaluation</t>
    <phoneticPr fontId="104" type="noConversion"/>
  </si>
  <si>
    <t>Wait for fix to be in Q</t>
    <phoneticPr fontId="104" type="noConversion"/>
  </si>
  <si>
    <t>11.05.2019</t>
    <phoneticPr fontId="104" type="noConversion"/>
  </si>
  <si>
    <t>USD</t>
  </si>
  <si>
    <t>USD</t>
    <phoneticPr fontId="104" type="noConversion"/>
  </si>
  <si>
    <t>1</t>
    <phoneticPr fontId="104" type="noConversion"/>
  </si>
  <si>
    <t>0014</t>
    <phoneticPr fontId="104" type="noConversion"/>
  </si>
  <si>
    <t>Testing of Casual Hours on PH &amp; Weekend &amp; Transfer to Permenant</t>
    <phoneticPr fontId="104" type="noConversion"/>
  </si>
  <si>
    <t>EE Changed to Permanent from May 13th</t>
    <phoneticPr fontId="104" type="noConversion"/>
  </si>
  <si>
    <t>5.2</t>
    <phoneticPr fontId="11" type="noConversion"/>
  </si>
  <si>
    <t>1. EE91999906 added as mid-month transfer from EE group C to EE group 1.</t>
    <phoneticPr fontId="11" type="noConversion"/>
  </si>
  <si>
    <t>1</t>
  </si>
  <si>
    <t>P</t>
  </si>
  <si>
    <t>3</t>
  </si>
  <si>
    <t>I</t>
  </si>
  <si>
    <t>S</t>
  </si>
  <si>
    <t>1000 Monthly Salary</t>
  </si>
  <si>
    <t>1001 Nominal Salary - 1</t>
  </si>
  <si>
    <t>1002 Nominal Salary - 2</t>
  </si>
  <si>
    <t>Foreigner Insurance Salary</t>
  </si>
  <si>
    <t>Foreigner Contract Salary</t>
  </si>
  <si>
    <t>6.0</t>
    <phoneticPr fontId="11" type="noConversion"/>
  </si>
  <si>
    <t>UAT4 -5 signoff</t>
    <phoneticPr fontId="11" type="noConversion"/>
  </si>
  <si>
    <t>6.1</t>
    <phoneticPr fontId="11" type="noConversion"/>
  </si>
  <si>
    <t>WT2010 Overtime Ordinary @ 1.0</t>
    <phoneticPr fontId="104" type="noConversion"/>
  </si>
  <si>
    <t>WT2020 OT Weekday Day @ 50%</t>
    <phoneticPr fontId="104" type="noConversion"/>
  </si>
  <si>
    <t>WT2021 OT Weekday Night @ 95%</t>
    <phoneticPr fontId="104" type="noConversion"/>
  </si>
  <si>
    <t xml:space="preserve">WT2011 PH Ordinary @ 1.0 </t>
    <phoneticPr fontId="104" type="noConversion"/>
  </si>
  <si>
    <t>WT2025 OT Weekend Day @ 100%</t>
  </si>
  <si>
    <t>WT2025 OT Weekend Day @ 100%</t>
    <phoneticPr fontId="104" type="noConversion"/>
  </si>
  <si>
    <t>WT2026 OT Weekend Night @ 160%</t>
  </si>
  <si>
    <t>WT2026 OT Weekend Night @ 160%</t>
    <phoneticPr fontId="104" type="noConversion"/>
  </si>
  <si>
    <t>WT2035 PH Day @ 200%</t>
    <phoneticPr fontId="104" type="noConversion"/>
  </si>
  <si>
    <t>WT2036 PH Night @ 290</t>
    <phoneticPr fontId="104" type="noConversion"/>
  </si>
  <si>
    <t>Teaching 0.50</t>
  </si>
  <si>
    <t>Teaching 0.75</t>
  </si>
  <si>
    <t>Teaching 1.00</t>
  </si>
  <si>
    <t>Teaching 1.25</t>
  </si>
  <si>
    <t>Teaching 1.50</t>
  </si>
  <si>
    <t>Teaching 1.75</t>
  </si>
  <si>
    <t>Teaching 2.00</t>
  </si>
  <si>
    <t>Other Activities 0.50</t>
  </si>
  <si>
    <t>Other Activities 0.75</t>
  </si>
  <si>
    <t>Other Activities 1.00</t>
  </si>
  <si>
    <t>Other Activities 1.25</t>
  </si>
  <si>
    <t>Other Activities 1.50</t>
  </si>
  <si>
    <t>Other Activities 1.75</t>
  </si>
  <si>
    <t>Other Activities 2.00</t>
  </si>
  <si>
    <t>LSL Scheme 2 5yrs</t>
  </si>
  <si>
    <t>LSL Scheme 2 &gt;5yrs</t>
  </si>
  <si>
    <t>2002</t>
    <phoneticPr fontId="11" type="noConversion"/>
  </si>
  <si>
    <t>UAT13</t>
    <phoneticPr fontId="11" type="noConversion"/>
  </si>
  <si>
    <t>WT2010 Overtime Ordinary @ 1.0</t>
  </si>
  <si>
    <t>WT2020 OT Weekday Day @ 50%</t>
  </si>
  <si>
    <t>WT2021 OT Weekday Night @ 95%</t>
  </si>
  <si>
    <t>2010 Overtime Ordinary @ 1.0</t>
    <phoneticPr fontId="104" type="noConversion"/>
  </si>
  <si>
    <t xml:space="preserve">2011 PH Ordinary @ 1.0 </t>
    <phoneticPr fontId="104" type="noConversion"/>
  </si>
  <si>
    <t>2020 OT Weekday Day @ 50%</t>
    <phoneticPr fontId="104" type="noConversion"/>
  </si>
  <si>
    <t>2021 OT Weekday Night @ 95%</t>
    <phoneticPr fontId="104" type="noConversion"/>
  </si>
  <si>
    <t>2025 OT Weekend Day @ 100%</t>
    <phoneticPr fontId="104" type="noConversion"/>
  </si>
  <si>
    <t>2026 OT Weekend Night @ 160%</t>
    <phoneticPr fontId="104" type="noConversion"/>
  </si>
  <si>
    <t>2035 PH Day @ 200%</t>
    <phoneticPr fontId="104" type="noConversion"/>
  </si>
  <si>
    <t>2036 PH Night @ 290</t>
    <phoneticPr fontId="104" type="noConversion"/>
  </si>
  <si>
    <t>1. Casual EE also has got rate 001 from WT2300 in IT0008. In UAT5, two splits of rate 001 were updated.
2. OT WTs updated according to lastest Time BP.</t>
    <phoneticPr fontId="11" type="noConversion"/>
  </si>
  <si>
    <t>N</t>
    <phoneticPr fontId="104" type="noConversion"/>
  </si>
  <si>
    <t>Y</t>
    <phoneticPr fontId="104" type="noConversion"/>
  </si>
  <si>
    <t>6.2</t>
    <phoneticPr fontId="11" type="noConversion"/>
  </si>
  <si>
    <t>2020//4/3</t>
    <phoneticPr fontId="11" type="noConversion"/>
  </si>
  <si>
    <t>UAT6:
1. EE91999903 - Retro tax formula update, leave encashment quotas updated.
2. Including TOIL 100% into Quota 80.
3. YTD OT and TOIL hours updated.
4. TOIL quota updated as 40.</t>
    <phoneticPr fontId="11" type="noConversion"/>
  </si>
  <si>
    <t>40 - Time in Lieu</t>
    <phoneticPr fontId="104" type="noConversion"/>
  </si>
  <si>
    <t>7.0</t>
    <phoneticPr fontId="11" type="noConversion"/>
  </si>
  <si>
    <t>7.1</t>
    <phoneticPr fontId="11" type="noConversion"/>
  </si>
  <si>
    <t>0008</t>
    <phoneticPr fontId="104" type="noConversion"/>
  </si>
  <si>
    <t>25.06.2019</t>
    <phoneticPr fontId="104" type="noConversion"/>
  </si>
  <si>
    <t>31.12.9999</t>
    <phoneticPr fontId="104" type="noConversion"/>
  </si>
  <si>
    <t>we</t>
    <phoneticPr fontId="104" type="noConversion"/>
  </si>
  <si>
    <t>Testing of Retro Salary Increase &amp; OT &amp; Terminated EE with Additional Payments</t>
    <phoneticPr fontId="104" type="noConversion"/>
  </si>
  <si>
    <t>UAT6 signoff</t>
    <phoneticPr fontId="11" type="noConversion"/>
  </si>
  <si>
    <t>UAT7 T1 release</t>
    <phoneticPr fontId="11" type="noConversion"/>
  </si>
  <si>
    <t>Y</t>
    <phoneticPr fontId="104" type="noConversion"/>
  </si>
  <si>
    <t>8.0</t>
    <phoneticPr fontId="11" type="noConversion"/>
  </si>
  <si>
    <t>UAT7 signoff</t>
    <phoneticPr fontId="11" type="noConversion"/>
  </si>
  <si>
    <t>8.1</t>
    <phoneticPr fontId="11" type="noConversion"/>
  </si>
  <si>
    <t>UAT8 T1 release
Rate /005 added for WT21000 Emergency Teaching Allowance aclculation.</t>
    <phoneticPr fontId="11" type="noConversion"/>
  </si>
  <si>
    <t>Rate 005</t>
    <phoneticPr fontId="104" type="noConversion"/>
  </si>
  <si>
    <t>Y</t>
    <phoneticPr fontId="104" type="noConversion"/>
  </si>
  <si>
    <t>8.2</t>
    <phoneticPr fontId="11" type="noConversion"/>
  </si>
  <si>
    <t>EE91999914's AL &amp; SL quotation updated accordingly 75% FTE from Jun 17th.</t>
    <phoneticPr fontId="11" type="noConversion"/>
  </si>
  <si>
    <t>1. Testing of OT for Annual Maxium OT Hours &amp; IT14 input for Absence Rate testing</t>
    <phoneticPr fontId="104" type="noConversion"/>
  </si>
  <si>
    <t>Testing of Retro Salary Increase &amp; OT
1. EE 91999913 has retro salary increase &amp; OT new rate should be applied after increase.
2. EE 91999904 OT rates before/after salary increase.</t>
    <phoneticPr fontId="104" type="noConversion"/>
  </si>
  <si>
    <t>2010 Overtime Ordinary @ 1.0</t>
    <phoneticPr fontId="104" type="noConversion"/>
  </si>
  <si>
    <t>2025 OT Weekend Day @ 100%</t>
    <phoneticPr fontId="104" type="noConversion"/>
  </si>
  <si>
    <t>01.08.2019</t>
    <phoneticPr fontId="104" type="noConversion"/>
  </si>
  <si>
    <t>4016 Time in Lieu</t>
    <phoneticPr fontId="104" type="noConversion"/>
  </si>
  <si>
    <t xml:space="preserve">4020 Foreign Public Holiday </t>
    <phoneticPr fontId="104" type="noConversion"/>
  </si>
  <si>
    <t>4000 Compassionate Leave</t>
  </si>
  <si>
    <t xml:space="preserve">4321 Study Leave              </t>
  </si>
  <si>
    <t>4021 Marriage of Employee</t>
  </si>
  <si>
    <t>4022 Marriage of Employee Child</t>
  </si>
  <si>
    <t>4320 Extended Sick Leave</t>
  </si>
  <si>
    <t>3330 Leave Without Pay &gt; 90d</t>
  </si>
  <si>
    <t>3331 Sick Leave Unpaid &gt; 90d</t>
  </si>
  <si>
    <t>3320 Accident Leave</t>
  </si>
  <si>
    <t>3324 Maternity Leave Unpaid</t>
  </si>
  <si>
    <t>3020 Paternity Leave Unpaid</t>
  </si>
  <si>
    <t>3021 Prenatal Check-Up</t>
  </si>
  <si>
    <t>3322 Childcare Leave</t>
  </si>
  <si>
    <t>3321 Adoption Leave</t>
  </si>
  <si>
    <t>3323 Leave Due to Miscarriage</t>
  </si>
  <si>
    <t>3325 Sick Leave - SI Comp</t>
  </si>
  <si>
    <t>ZLSL</t>
    <phoneticPr fontId="11" type="noConversion"/>
  </si>
  <si>
    <t>71 - LSL Scheme 1</t>
    <phoneticPr fontId="104" type="noConversion"/>
  </si>
  <si>
    <t>72 - LSL Scheme 2</t>
    <phoneticPr fontId="104" type="noConversion"/>
  </si>
  <si>
    <t>01.01.2019</t>
    <phoneticPr fontId="104" type="noConversion"/>
  </si>
  <si>
    <t>ZC10</t>
    <phoneticPr fontId="11" type="noConversion"/>
  </si>
  <si>
    <t>Entitlement 3</t>
    <phoneticPr fontId="11" type="noConversion"/>
  </si>
  <si>
    <t>Entitlement 4</t>
    <phoneticPr fontId="11" type="noConversion"/>
  </si>
  <si>
    <t>01.01.2019</t>
    <phoneticPr fontId="11" type="noConversion"/>
  </si>
  <si>
    <t>01.09.2019</t>
    <phoneticPr fontId="104" type="noConversion"/>
  </si>
  <si>
    <t>9.0</t>
    <phoneticPr fontId="11" type="noConversion"/>
  </si>
  <si>
    <t>UAT8 signoff</t>
    <phoneticPr fontId="11" type="noConversion"/>
  </si>
  <si>
    <t>9.1</t>
    <phoneticPr fontId="11" type="noConversion"/>
  </si>
  <si>
    <t>27.08.2019</t>
    <phoneticPr fontId="104" type="noConversion"/>
  </si>
  <si>
    <t>26.08.2019</t>
    <phoneticPr fontId="104" type="noConversion"/>
  </si>
  <si>
    <t>UAT9 T1 release
1. All quota for LSL including Schema 1 &amp; 2 are given with correction (IT2013). Because time transfer IT2012 is only used for cash payment percent calculation for LSL Sch 2 and irrelevant to quota calculation.
2. Updated time transfer ZC10 for EE who is eligilble for LSL. 
3. Maternity leave is removed for foreigner EE, since the leave is not eligible to foreigner.
4. Changed EE91999913's subgroup to ;P, otherwise EE will be ineligible for OT.</t>
    <phoneticPr fontId="11" type="noConversion"/>
  </si>
  <si>
    <t>*/320 CSI EE</t>
    <phoneticPr fontId="11" type="noConversion"/>
  </si>
  <si>
    <t>*/340 UI EE</t>
    <phoneticPr fontId="11" type="noConversion"/>
  </si>
  <si>
    <t>*/350 HI EE</t>
    <phoneticPr fontId="11" type="noConversion"/>
  </si>
  <si>
    <t>*/321 CSI ER</t>
    <phoneticPr fontId="11" type="noConversion"/>
  </si>
  <si>
    <t>*/341 UI ER</t>
    <phoneticPr fontId="11" type="noConversion"/>
  </si>
  <si>
    <t>*/351 HI ER</t>
    <phoneticPr fontId="11" type="noConversion"/>
  </si>
  <si>
    <t>Rate 005</t>
    <phoneticPr fontId="104" type="noConversion"/>
  </si>
  <si>
    <t>Y</t>
    <phoneticPr fontId="104" type="noConversion"/>
  </si>
  <si>
    <t>Rate 005</t>
    <phoneticPr fontId="11" type="noConversion"/>
  </si>
  <si>
    <t>31.12.9999</t>
  </si>
  <si>
    <t>Testing of Full Month Absences with PH &amp; Gov Paid Lv. &amp; Return for Work &amp; Rehire</t>
    <phoneticPr fontId="104" type="noConversion"/>
  </si>
  <si>
    <t>9.2</t>
    <phoneticPr fontId="11" type="noConversion"/>
  </si>
  <si>
    <t>Calendar day</t>
    <phoneticPr fontId="104" type="noConversion"/>
  </si>
  <si>
    <t>Hours</t>
    <phoneticPr fontId="104" type="noConversion"/>
  </si>
  <si>
    <t>Rate 006</t>
    <phoneticPr fontId="104" type="noConversion"/>
  </si>
  <si>
    <t>Hours</t>
    <phoneticPr fontId="11" type="noConversion"/>
  </si>
  <si>
    <t>Rate 006</t>
    <phoneticPr fontId="11" type="noConversion"/>
  </si>
  <si>
    <t>UAT9
1. EE9199902's annual leave absence days chagned to 0.56 days.
2. All absences sending from time will be in hours.
3. Update Rate /003, /004 &amp; /006.
4. Changed the vPay for maternity leave to (Rate /003 + Rate /006) * maternity leave hours
5. Added LWOP for EE91999907 for unpaid leave rate testing.
6. Changed LWOP input for EE91999901 into daily basis instead of period of inputs.</t>
    <phoneticPr fontId="11" type="noConversion"/>
  </si>
  <si>
    <t>05.08.2019</t>
    <phoneticPr fontId="104" type="noConversion"/>
  </si>
  <si>
    <t>09.08.2019</t>
    <phoneticPr fontId="104" type="noConversion"/>
  </si>
  <si>
    <t>*Factoring 803</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</si>
</sst>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5">
    <numFmt numFmtId="176" formatCode="_-* #,##0_-;\-* #,##0_-;_-* &quot;-&quot;_-;_-@_-"/>
    <numFmt numFmtId="177" formatCode="_-* #,##0.00_-;\-* #,##0.00_-;_-* &quot;-&quot;??_-;_-@_-"/>
    <numFmt numFmtId="178" formatCode="_(&quot;$&quot;* #,##0.00_);_(&quot;$&quot;* \(#,##0.00\);_(&quot;$&quot;* &quot;-&quot;??_);_(@_)"/>
    <numFmt numFmtId="179" formatCode="_(* #,##0.00_);_(* \(#,##0.00\);_(* &quot;-&quot;??_);_(@_)"/>
    <numFmt numFmtId="180" formatCode="dd\.mm\.yyyy;@"/>
    <numFmt numFmtId="181" formatCode="00"/>
    <numFmt numFmtId="182" formatCode="_-[$€]* #,##0.00_-;\-[$€]* #,##0.00_-;_-[$€]* &quot;-&quot;??_-;_-@_-"/>
    <numFmt numFmtId="183" formatCode="yyyy/mm/dd"/>
    <numFmt numFmtId="184" formatCode="_(* #,##0_);_(* \(#,##0\);_(* &quot;-&quot;??_);_(@_)"/>
    <numFmt numFmtId="185" formatCode="dd/mmm/yyyy"/>
    <numFmt numFmtId="186" formatCode="\$#,##0\ ;\(\$#,##0\)"/>
    <numFmt numFmtId="187" formatCode="0.00_)"/>
    <numFmt numFmtId="188" formatCode="&quot;\&quot;#,##0.00;[Red]\-&quot;\&quot;#,##0.00"/>
    <numFmt numFmtId="189" formatCode="&quot;\&quot;#,##0.00;[Red]&quot;\&quot;\-#,##0.00"/>
    <numFmt numFmtId="190" formatCode="&quot;\&quot;#,##0;[Red]&quot;\&quot;\-#,##0"/>
    <numFmt numFmtId="191" formatCode="_-&quot;ñ&quot;* #,##0_-;\-&quot;ñ&quot;* #,##0_-;_-&quot;ñ&quot;* &quot;-&quot;_-;_-@_-"/>
    <numFmt numFmtId="192" formatCode="_-&quot;ñ&quot;* #,##0.00_-;\-&quot;ñ&quot;* #,##0.00_-;_-&quot;ñ&quot;* &quot;-&quot;??_-;_-@_-"/>
    <numFmt numFmtId="193" formatCode="h:mm;@"/>
    <numFmt numFmtId="194" formatCode="dd\.mm\.yyyy"/>
    <numFmt numFmtId="195" formatCode="0.00000"/>
    <numFmt numFmtId="196" formatCode="#,##0.0"/>
    <numFmt numFmtId="197" formatCode="dd\-mmm\-yy\(ddd\)"/>
    <numFmt numFmtId="198" formatCode="0.00_ "/>
    <numFmt numFmtId="199" formatCode="#,##0.0000000"/>
    <numFmt numFmtId="200" formatCode="#,##0.00000000"/>
  </numFmts>
  <fonts count="107">
    <font>
      <sz val="10"/>
      <name val="Arial"/>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0"/>
      <name val="Arial"/>
      <family val="2"/>
    </font>
    <font>
      <sz val="14"/>
      <name val="Arial Narrow"/>
      <family val="2"/>
    </font>
    <font>
      <sz val="10"/>
      <name val="Arial"/>
      <family val="2"/>
    </font>
    <font>
      <sz val="10"/>
      <name val="Arial Narrow"/>
      <family val="2"/>
    </font>
    <font>
      <b/>
      <sz val="10"/>
      <name val="Arial Narrow"/>
      <family val="2"/>
    </font>
    <font>
      <sz val="8"/>
      <name val="Arial"/>
      <family val="2"/>
    </font>
    <font>
      <sz val="10"/>
      <name val="MS Sans Serif"/>
      <family val="2"/>
    </font>
    <font>
      <b/>
      <u/>
      <sz val="10"/>
      <name val="Arial Narrow"/>
      <family val="2"/>
    </font>
    <font>
      <b/>
      <u/>
      <sz val="12"/>
      <color indexed="48"/>
      <name val="Arial Narrow"/>
      <family val="2"/>
    </font>
    <font>
      <b/>
      <sz val="10"/>
      <color indexed="17"/>
      <name val="Arial Narrow"/>
      <family val="2"/>
    </font>
    <font>
      <b/>
      <u/>
      <sz val="14"/>
      <name val="Arial Narrow"/>
      <family val="2"/>
    </font>
    <font>
      <sz val="10"/>
      <color indexed="9"/>
      <name val="Times New Roman"/>
      <family val="1"/>
    </font>
    <font>
      <sz val="10"/>
      <name val="Times New Roman"/>
      <family val="1"/>
    </font>
    <font>
      <b/>
      <u/>
      <sz val="16"/>
      <name val="Arial Narrow"/>
      <family val="2"/>
    </font>
    <font>
      <b/>
      <sz val="8"/>
      <color indexed="81"/>
      <name val="Tahoma"/>
      <family val="2"/>
    </font>
    <font>
      <sz val="8"/>
      <color indexed="81"/>
      <name val="Tahoma"/>
      <family val="2"/>
    </font>
    <font>
      <sz val="10"/>
      <color indexed="18"/>
      <name val="Arial Narrow"/>
      <family val="2"/>
    </font>
    <font>
      <b/>
      <u/>
      <sz val="10"/>
      <color indexed="48"/>
      <name val="Arial Narrow"/>
      <family val="2"/>
    </font>
    <font>
      <b/>
      <u/>
      <sz val="10"/>
      <color indexed="10"/>
      <name val="Arial Narrow"/>
      <family val="2"/>
    </font>
    <font>
      <b/>
      <u/>
      <sz val="12"/>
      <color indexed="17"/>
      <name val="Arial Narrow"/>
      <family val="2"/>
    </font>
    <font>
      <sz val="10"/>
      <color indexed="17"/>
      <name val="Arial Narrow"/>
      <family val="2"/>
    </font>
    <font>
      <sz val="12"/>
      <color indexed="48"/>
      <name val="Arial Narrow"/>
      <family val="2"/>
    </font>
    <font>
      <sz val="12"/>
      <color indexed="57"/>
      <name val="Arial Narrow"/>
      <family val="2"/>
    </font>
    <font>
      <b/>
      <sz val="12"/>
      <name val="Arial Narrow"/>
      <family val="2"/>
    </font>
    <font>
      <b/>
      <sz val="12"/>
      <color indexed="57"/>
      <name val="Arial Narrow"/>
      <family val="2"/>
    </font>
    <font>
      <sz val="12"/>
      <name val="Times New Roman"/>
      <family val="1"/>
    </font>
    <font>
      <b/>
      <sz val="10"/>
      <color indexed="57"/>
      <name val="Arial Narrow"/>
      <family val="2"/>
    </font>
    <font>
      <b/>
      <sz val="9"/>
      <color indexed="81"/>
      <name val="Tahoma"/>
      <family val="2"/>
    </font>
    <font>
      <sz val="9"/>
      <color indexed="81"/>
      <name val="Tahoma"/>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1"/>
      <color indexed="8"/>
      <name val="Calibri"/>
      <family val="2"/>
    </font>
    <font>
      <sz val="11"/>
      <color indexed="10"/>
      <name val="Calibri"/>
      <family val="2"/>
    </font>
    <font>
      <sz val="10"/>
      <color indexed="8"/>
      <name val="Arial"/>
      <family val="2"/>
    </font>
    <font>
      <sz val="12"/>
      <name val="¹UAAA¼"/>
      <family val="3"/>
    </font>
    <font>
      <sz val="10"/>
      <name val="VNI-Times"/>
    </font>
    <font>
      <b/>
      <sz val="12"/>
      <name val="Arial"/>
      <family val="2"/>
    </font>
    <font>
      <b/>
      <i/>
      <sz val="16"/>
      <name val="Helv"/>
    </font>
    <font>
      <sz val="10"/>
      <name val="Arial Unicode MS"/>
      <family val="2"/>
    </font>
    <font>
      <sz val="12"/>
      <name val=".VnArial"/>
      <family val="2"/>
    </font>
    <font>
      <sz val="14"/>
      <name val="뼻뮝"/>
      <family val="3"/>
      <charset val="129"/>
    </font>
    <font>
      <sz val="12"/>
      <name val="바탕체"/>
      <family val="3"/>
    </font>
    <font>
      <sz val="12"/>
      <name val="뼻뮝"/>
      <family val="1"/>
      <charset val="129"/>
    </font>
    <font>
      <sz val="12"/>
      <name val=".VnTime"/>
      <family val="2"/>
    </font>
    <font>
      <sz val="12"/>
      <name val="바탕체"/>
      <family val="3"/>
      <charset val="129"/>
    </font>
    <font>
      <sz val="10"/>
      <name val="굴림체"/>
      <family val="3"/>
      <charset val="129"/>
    </font>
    <font>
      <sz val="12"/>
      <name val="新細明體"/>
      <family val="2"/>
    </font>
    <font>
      <sz val="11"/>
      <name val="ＭＳ Ｐゴシック"/>
      <family val="2"/>
      <charset val="128"/>
    </font>
    <font>
      <b/>
      <sz val="10"/>
      <name val="MS Sans Serif"/>
      <family val="2"/>
    </font>
    <font>
      <sz val="12"/>
      <name val="Arial"/>
      <family val="2"/>
    </font>
    <font>
      <sz val="10"/>
      <name val="Arial Unicode MS"/>
      <family val="2"/>
      <charset val="136"/>
    </font>
    <font>
      <u/>
      <sz val="11"/>
      <color indexed="12"/>
      <name val="Calibri"/>
      <family val="2"/>
    </font>
    <font>
      <sz val="10"/>
      <color indexed="8"/>
      <name val="MS Sans Serif"/>
      <family val="2"/>
    </font>
    <font>
      <sz val="12"/>
      <name val="宋体"/>
      <family val="3"/>
      <charset val="134"/>
    </font>
    <font>
      <sz val="10"/>
      <name val="VNI-Times"/>
      <family val="2"/>
    </font>
    <font>
      <b/>
      <i/>
      <sz val="16"/>
      <name val="Helv"/>
      <family val="2"/>
    </font>
    <font>
      <b/>
      <sz val="18"/>
      <color indexed="56"/>
      <name val="Cambria"/>
      <family val="1"/>
    </font>
    <font>
      <sz val="11"/>
      <color theme="1"/>
      <name val="宋体"/>
      <family val="2"/>
      <scheme val="minor"/>
    </font>
    <font>
      <sz val="10"/>
      <color rgb="FFFF0000"/>
      <name val="Arial Narrow"/>
      <family val="2"/>
    </font>
    <font>
      <b/>
      <u/>
      <sz val="12"/>
      <color rgb="FF3366FF"/>
      <name val="Arial Narrow"/>
      <family val="2"/>
    </font>
    <font>
      <b/>
      <sz val="10"/>
      <color rgb="FF3366FF"/>
      <name val="Arial Narrow"/>
      <family val="2"/>
    </font>
    <font>
      <sz val="11"/>
      <color theme="1"/>
      <name val="宋体"/>
      <family val="1"/>
      <charset val="136"/>
      <scheme val="minor"/>
    </font>
    <font>
      <b/>
      <sz val="34"/>
      <name val="Arial"/>
      <family val="2"/>
    </font>
    <font>
      <b/>
      <sz val="10"/>
      <name val="Arial"/>
      <family val="2"/>
    </font>
    <font>
      <sz val="10"/>
      <color rgb="FF64BEEB"/>
      <name val="Arial"/>
      <family val="2"/>
    </font>
    <font>
      <b/>
      <sz val="14"/>
      <name val="Arial"/>
      <family val="2"/>
    </font>
    <font>
      <b/>
      <sz val="24"/>
      <name val="Arial"/>
      <family val="2"/>
    </font>
    <font>
      <sz val="10"/>
      <color theme="1"/>
      <name val="Arial"/>
      <family val="2"/>
    </font>
    <font>
      <sz val="8"/>
      <color theme="1"/>
      <name val="Arial"/>
      <family val="2"/>
    </font>
    <font>
      <vertAlign val="superscript"/>
      <sz val="8"/>
      <color theme="1"/>
      <name val="Arial"/>
      <family val="2"/>
    </font>
    <font>
      <b/>
      <sz val="8"/>
      <color theme="1"/>
      <name val="Arial"/>
      <family val="2"/>
    </font>
    <font>
      <b/>
      <sz val="12"/>
      <color theme="1"/>
      <name val="Arial"/>
      <family val="2"/>
    </font>
    <font>
      <sz val="10"/>
      <color theme="1"/>
      <name val="Arial Narrow"/>
      <family val="2"/>
    </font>
    <font>
      <b/>
      <sz val="24"/>
      <color theme="1"/>
      <name val="Arial"/>
      <family val="2"/>
    </font>
    <font>
      <b/>
      <sz val="10"/>
      <color theme="1"/>
      <name val="Arial Narrow"/>
      <family val="2"/>
    </font>
    <font>
      <b/>
      <sz val="11"/>
      <color theme="1"/>
      <name val="Arial Narrow"/>
      <family val="2"/>
    </font>
    <font>
      <sz val="11"/>
      <color theme="1"/>
      <name val="Arial Narrow"/>
      <family val="2"/>
    </font>
    <font>
      <sz val="12"/>
      <color theme="1"/>
      <name val="Arial"/>
      <family val="2"/>
    </font>
    <font>
      <b/>
      <sz val="10"/>
      <color rgb="FF0070C0"/>
      <name val="Arial Narrow"/>
      <family val="2"/>
    </font>
    <font>
      <sz val="10"/>
      <color rgb="FF00B050"/>
      <name val="Arial Narrow"/>
      <family val="2"/>
    </font>
    <font>
      <sz val="10"/>
      <color rgb="FF0070C0"/>
      <name val="Arial"/>
      <family val="2"/>
    </font>
    <font>
      <b/>
      <sz val="10"/>
      <color rgb="FF000000"/>
      <name val="Arial Narrow"/>
      <family val="2"/>
    </font>
    <font>
      <sz val="10"/>
      <color rgb="FF000000"/>
      <name val="Arial Narrow"/>
      <family val="2"/>
    </font>
    <font>
      <i/>
      <sz val="10"/>
      <color rgb="FF000000"/>
      <name val="Arial Narrow"/>
      <family val="2"/>
    </font>
    <font>
      <u/>
      <sz val="10"/>
      <color theme="1"/>
      <name val="Arial Narrow"/>
      <family val="2"/>
    </font>
    <font>
      <sz val="10"/>
      <color rgb="FF92D050"/>
      <name val="Arial Narrow"/>
      <family val="2"/>
    </font>
    <font>
      <sz val="9"/>
      <name val="宋体"/>
      <family val="3"/>
      <charset val="134"/>
    </font>
    <font>
      <sz val="10"/>
      <name val="Arial"/>
      <family val="2"/>
    </font>
    <font>
      <b/>
      <sz val="18"/>
      <name val="Arial Narrow"/>
      <family val="2"/>
    </font>
  </fonts>
  <fills count="4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mediumGray">
        <fgColor indexed="22"/>
      </patternFill>
    </fill>
    <fill>
      <patternFill patternType="lightUp"/>
    </fill>
    <fill>
      <patternFill patternType="solid">
        <fgColor indexed="42"/>
        <bgColor indexed="64"/>
      </patternFill>
    </fill>
    <fill>
      <patternFill patternType="solid">
        <fgColor rgb="FF64BEEB"/>
        <bgColor indexed="64"/>
      </patternFill>
    </fill>
    <fill>
      <patternFill patternType="solid">
        <fgColor rgb="FF64BFEC"/>
        <bgColor indexed="64"/>
      </patternFill>
    </fill>
    <fill>
      <patternFill patternType="solid">
        <fgColor rgb="FF63BFED"/>
        <bgColor indexed="64"/>
      </patternFill>
    </fill>
    <fill>
      <patternFill patternType="solid">
        <fgColor rgb="FF66C1EA"/>
        <bgColor indexed="64"/>
      </patternFill>
    </fill>
    <fill>
      <patternFill patternType="solid">
        <fgColor theme="8" tint="0.59999389629810485"/>
        <bgColor indexed="64"/>
      </patternFill>
    </fill>
    <fill>
      <patternFill patternType="solid">
        <fgColor theme="0" tint="-0.14996795556505021"/>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FFFF00"/>
        <bgColor indexed="64"/>
      </patternFill>
    </fill>
    <fill>
      <patternFill patternType="solid">
        <fgColor rgb="FF65BEEB"/>
        <bgColor indexed="64"/>
      </patternFill>
    </fill>
    <fill>
      <patternFill patternType="solid">
        <fgColor rgb="FFFFFFFF"/>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rgb="FF92D050"/>
        <bgColor indexed="64"/>
      </patternFill>
    </fill>
    <fill>
      <patternFill patternType="lightUp">
        <bgColor rgb="FF92D050"/>
      </patternFill>
    </fill>
    <fill>
      <patternFill patternType="solid">
        <fgColor rgb="FF00B050"/>
        <bgColor indexed="64"/>
      </patternFill>
    </fill>
  </fills>
  <borders count="6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right/>
      <top style="thin">
        <color indexed="62"/>
      </top>
      <bottom style="double">
        <color indexed="62"/>
      </bottom>
      <diagonal/>
    </border>
    <border>
      <left/>
      <right/>
      <top style="thin">
        <color indexed="64"/>
      </top>
      <bottom style="double">
        <color indexed="64"/>
      </bottom>
      <diagonal/>
    </border>
    <border>
      <left/>
      <right style="thin">
        <color indexed="64"/>
      </right>
      <top/>
      <bottom/>
      <diagonal/>
    </border>
    <border>
      <left style="thin">
        <color indexed="64"/>
      </left>
      <right/>
      <top/>
      <bottom/>
      <diagonal/>
    </border>
    <border>
      <left/>
      <right/>
      <top/>
      <bottom style="thin">
        <color indexed="64"/>
      </bottom>
      <diagonal/>
    </border>
    <border>
      <left style="thin">
        <color indexed="64"/>
      </left>
      <right/>
      <top style="thin">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bottom style="thick">
        <color theme="4" tint="0.499984740745262"/>
      </bottom>
      <diagonal/>
    </border>
    <border>
      <left style="thin">
        <color indexed="64"/>
      </left>
      <right style="thin">
        <color indexed="64"/>
      </right>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auto="1"/>
      </left>
      <right style="thin">
        <color auto="1"/>
      </right>
      <top style="thin">
        <color auto="1"/>
      </top>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rgb="FFB1BBCC"/>
      </left>
      <right style="thin">
        <color rgb="FFB1BBCC"/>
      </right>
      <top style="thin">
        <color rgb="FFB1BBCC"/>
      </top>
      <bottom style="thin">
        <color rgb="FFB1BBCC"/>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thin">
        <color rgb="FFB1BBCC"/>
      </left>
      <right style="thin">
        <color rgb="FFB1BBCC"/>
      </right>
      <top/>
      <bottom style="thin">
        <color rgb="FFB1BBCC"/>
      </bottom>
      <diagonal/>
    </border>
    <border>
      <left style="thin">
        <color auto="1"/>
      </left>
      <right style="thin">
        <color auto="1"/>
      </right>
      <top style="thin">
        <color auto="1"/>
      </top>
      <bottom style="thin">
        <color auto="1"/>
      </bottom>
      <diagonal/>
    </border>
    <border>
      <left/>
      <right style="thin">
        <color indexed="64"/>
      </right>
      <top style="thin">
        <color indexed="64"/>
      </top>
      <bottom style="double">
        <color indexed="64"/>
      </bottom>
      <diagonal/>
    </border>
    <border>
      <left/>
      <right/>
      <top style="thin">
        <color auto="1"/>
      </top>
      <bottom style="thin">
        <color auto="1"/>
      </bottom>
      <diagonal/>
    </border>
    <border>
      <left/>
      <right style="thin">
        <color indexed="64"/>
      </right>
      <top style="thin">
        <color auto="1"/>
      </top>
      <bottom style="thin">
        <color auto="1"/>
      </bottom>
      <diagonal/>
    </border>
    <border>
      <left/>
      <right style="thin">
        <color indexed="64"/>
      </right>
      <top style="thin">
        <color auto="1"/>
      </top>
      <bottom style="thin">
        <color auto="1"/>
      </bottom>
      <diagonal/>
    </border>
    <border>
      <left/>
      <right style="thin">
        <color indexed="64"/>
      </right>
      <top style="thin">
        <color indexed="64"/>
      </top>
      <bottom/>
      <diagonal/>
    </border>
    <border>
      <left/>
      <right style="thin">
        <color indexed="64"/>
      </right>
      <top style="thin">
        <color auto="1"/>
      </top>
      <bottom style="thin">
        <color auto="1"/>
      </bottom>
      <diagonal/>
    </border>
    <border>
      <left/>
      <right style="thin">
        <color indexed="64"/>
      </right>
      <top style="thin">
        <color auto="1"/>
      </top>
      <bottom style="thin">
        <color auto="1"/>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auto="1"/>
      </top>
      <bottom style="thin">
        <color auto="1"/>
      </bottom>
      <diagonal/>
    </border>
    <border>
      <left/>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indexed="64"/>
      </top>
      <bottom/>
      <diagonal/>
    </border>
    <border>
      <left/>
      <right/>
      <top style="thin">
        <color auto="1"/>
      </top>
      <bottom style="thin">
        <color auto="1"/>
      </bottom>
      <diagonal/>
    </border>
    <border>
      <left/>
      <right/>
      <top style="thin">
        <color auto="1"/>
      </top>
      <bottom style="thin">
        <color auto="1"/>
      </bottom>
      <diagonal/>
    </border>
    <border>
      <left style="thin">
        <color indexed="64"/>
      </left>
      <right style="thin">
        <color indexed="64"/>
      </right>
      <top style="thin">
        <color auto="1"/>
      </top>
      <bottom/>
      <diagonal/>
    </border>
    <border>
      <left/>
      <right/>
      <top style="thin">
        <color indexed="64"/>
      </top>
      <bottom/>
      <diagonal/>
    </border>
  </borders>
  <cellStyleXfs count="12063">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12" fillId="0" borderId="0"/>
    <xf numFmtId="0" fontId="8" fillId="0" borderId="0"/>
    <xf numFmtId="0" fontId="8" fillId="0" borderId="0"/>
    <xf numFmtId="0" fontId="35" fillId="2" borderId="0" applyNumberFormat="0" applyBorder="0" applyAlignment="0" applyProtection="0"/>
    <xf numFmtId="0" fontId="35" fillId="3" borderId="0" applyNumberFormat="0" applyBorder="0" applyAlignment="0" applyProtection="0"/>
    <xf numFmtId="0" fontId="35" fillId="4" borderId="0" applyNumberFormat="0" applyBorder="0" applyAlignment="0" applyProtection="0"/>
    <xf numFmtId="0" fontId="35" fillId="5" borderId="0" applyNumberFormat="0" applyBorder="0" applyAlignment="0" applyProtection="0"/>
    <xf numFmtId="0" fontId="35" fillId="6" borderId="0" applyNumberFormat="0" applyBorder="0" applyAlignment="0" applyProtection="0"/>
    <xf numFmtId="0" fontId="35" fillId="7" borderId="0" applyNumberFormat="0" applyBorder="0" applyAlignment="0" applyProtection="0"/>
    <xf numFmtId="0" fontId="8" fillId="0" borderId="0"/>
    <xf numFmtId="0" fontId="8" fillId="0" borderId="0"/>
    <xf numFmtId="0" fontId="8" fillId="0" borderId="0"/>
    <xf numFmtId="0" fontId="8" fillId="0" borderId="0"/>
    <xf numFmtId="0" fontId="8" fillId="0" borderId="0"/>
    <xf numFmtId="0" fontId="35" fillId="8" borderId="0" applyNumberFormat="0" applyBorder="0" applyAlignment="0" applyProtection="0"/>
    <xf numFmtId="0" fontId="35" fillId="9" borderId="0" applyNumberFormat="0" applyBorder="0" applyAlignment="0" applyProtection="0"/>
    <xf numFmtId="0" fontId="35" fillId="10" borderId="0" applyNumberFormat="0" applyBorder="0" applyAlignment="0" applyProtection="0"/>
    <xf numFmtId="0" fontId="35" fillId="5" borderId="0" applyNumberFormat="0" applyBorder="0" applyAlignment="0" applyProtection="0"/>
    <xf numFmtId="0" fontId="35" fillId="8" borderId="0" applyNumberFormat="0" applyBorder="0" applyAlignment="0" applyProtection="0"/>
    <xf numFmtId="0" fontId="35" fillId="11" borderId="0" applyNumberFormat="0" applyBorder="0" applyAlignment="0" applyProtection="0"/>
    <xf numFmtId="0" fontId="36" fillId="12"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13" borderId="0" applyNumberFormat="0" applyBorder="0" applyAlignment="0" applyProtection="0"/>
    <xf numFmtId="0" fontId="36" fillId="14" borderId="0" applyNumberFormat="0" applyBorder="0" applyAlignment="0" applyProtection="0"/>
    <xf numFmtId="0" fontId="36" fillId="15" borderId="0" applyNumberFormat="0" applyBorder="0" applyAlignment="0" applyProtection="0"/>
    <xf numFmtId="0" fontId="36" fillId="16" borderId="0" applyNumberFormat="0" applyBorder="0" applyAlignment="0" applyProtection="0"/>
    <xf numFmtId="0" fontId="36" fillId="17" borderId="0" applyNumberFormat="0" applyBorder="0" applyAlignment="0" applyProtection="0"/>
    <xf numFmtId="0" fontId="36" fillId="18" borderId="0" applyNumberFormat="0" applyBorder="0" applyAlignment="0" applyProtection="0"/>
    <xf numFmtId="0" fontId="36" fillId="13" borderId="0" applyNumberFormat="0" applyBorder="0" applyAlignment="0" applyProtection="0"/>
    <xf numFmtId="0" fontId="36" fillId="14" borderId="0" applyNumberFormat="0" applyBorder="0" applyAlignment="0" applyProtection="0"/>
    <xf numFmtId="0" fontId="36" fillId="19" borderId="0" applyNumberFormat="0" applyBorder="0" applyAlignment="0" applyProtection="0"/>
    <xf numFmtId="0" fontId="52" fillId="0" borderId="0" applyFont="0" applyFill="0" applyBorder="0" applyAlignment="0" applyProtection="0"/>
    <xf numFmtId="0" fontId="52" fillId="0" borderId="0" applyFont="0" applyFill="0" applyBorder="0" applyAlignment="0" applyProtection="0"/>
    <xf numFmtId="0" fontId="52" fillId="0" borderId="0" applyFont="0" applyFill="0" applyBorder="0" applyAlignment="0" applyProtection="0"/>
    <xf numFmtId="0" fontId="52" fillId="0" borderId="0" applyFont="0" applyFill="0" applyBorder="0" applyAlignment="0" applyProtection="0"/>
    <xf numFmtId="0" fontId="37" fillId="3" borderId="0" applyNumberFormat="0" applyBorder="0" applyAlignment="0" applyProtection="0"/>
    <xf numFmtId="0" fontId="52" fillId="0" borderId="0"/>
    <xf numFmtId="0" fontId="52" fillId="0" borderId="0"/>
    <xf numFmtId="0" fontId="38" fillId="20" borderId="1" applyNumberFormat="0" applyAlignment="0" applyProtection="0"/>
    <xf numFmtId="0" fontId="39" fillId="21" borderId="2" applyNumberFormat="0" applyAlignment="0" applyProtection="0"/>
    <xf numFmtId="179" fontId="8" fillId="0" borderId="0" applyFont="0" applyFill="0" applyBorder="0" applyAlignment="0" applyProtection="0"/>
    <xf numFmtId="179" fontId="67" fillId="0" borderId="0" applyFont="0" applyFill="0" applyBorder="0" applyAlignment="0" applyProtection="0"/>
    <xf numFmtId="179" fontId="67" fillId="0" borderId="0" applyFont="0" applyFill="0" applyBorder="0" applyAlignment="0" applyProtection="0"/>
    <xf numFmtId="177" fontId="8" fillId="0" borderId="0" applyFont="0" applyFill="0" applyBorder="0" applyAlignment="0" applyProtection="0"/>
    <xf numFmtId="184"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179" fontId="67"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184" fontId="8" fillId="0" borderId="0" applyFont="0" applyFill="0" applyBorder="0" applyAlignment="0" applyProtection="0"/>
    <xf numFmtId="185" fontId="8" fillId="0" borderId="0" applyFont="0" applyFill="0" applyBorder="0" applyAlignment="0" applyProtection="0"/>
    <xf numFmtId="179" fontId="75" fillId="0" borderId="0" applyFont="0" applyFill="0" applyBorder="0" applyAlignment="0" applyProtection="0"/>
    <xf numFmtId="185" fontId="8" fillId="0" borderId="0" applyFont="0" applyFill="0" applyBorder="0" applyAlignment="0" applyProtection="0"/>
    <xf numFmtId="179" fontId="67" fillId="0" borderId="0" applyFont="0" applyFill="0" applyBorder="0" applyAlignment="0" applyProtection="0"/>
    <xf numFmtId="184" fontId="8" fillId="0" borderId="0" applyFont="0" applyFill="0" applyBorder="0" applyAlignment="0" applyProtection="0"/>
    <xf numFmtId="184" fontId="8" fillId="0" borderId="0" applyFont="0" applyFill="0" applyBorder="0" applyAlignment="0" applyProtection="0"/>
    <xf numFmtId="179" fontId="67" fillId="0" borderId="0" applyFont="0" applyFill="0" applyBorder="0" applyAlignment="0" applyProtection="0"/>
    <xf numFmtId="179" fontId="51" fillId="0" borderId="0" applyFont="0" applyFill="0" applyBorder="0" applyAlignment="0" applyProtection="0">
      <alignment vertical="top"/>
    </xf>
    <xf numFmtId="179" fontId="51" fillId="0" borderId="0" applyFont="0" applyFill="0" applyBorder="0" applyAlignment="0" applyProtection="0">
      <alignment vertical="top"/>
    </xf>
    <xf numFmtId="179" fontId="35" fillId="0" borderId="0" applyFont="0" applyFill="0" applyBorder="0" applyAlignment="0" applyProtection="0"/>
    <xf numFmtId="179" fontId="67" fillId="0" borderId="0" applyFont="0" applyFill="0" applyBorder="0" applyAlignment="0" applyProtection="0"/>
    <xf numFmtId="179" fontId="75" fillId="0" borderId="0" applyFont="0" applyFill="0" applyBorder="0" applyAlignment="0" applyProtection="0"/>
    <xf numFmtId="179" fontId="79" fillId="0" borderId="0" applyFont="0" applyFill="0" applyBorder="0" applyAlignment="0" applyProtection="0"/>
    <xf numFmtId="179" fontId="68" fillId="0" borderId="0" applyFont="0" applyFill="0" applyBorder="0" applyAlignment="0" applyProtection="0"/>
    <xf numFmtId="179" fontId="75" fillId="0" borderId="0" applyFont="0" applyFill="0" applyBorder="0" applyAlignment="0" applyProtection="0"/>
    <xf numFmtId="179" fontId="75" fillId="0" borderId="0" applyFont="0" applyFill="0" applyBorder="0" applyAlignment="0" applyProtection="0"/>
    <xf numFmtId="179" fontId="75" fillId="0" borderId="0" applyFont="0" applyFill="0" applyBorder="0" applyAlignment="0" applyProtection="0"/>
    <xf numFmtId="179" fontId="79" fillId="0" borderId="0" applyFont="0" applyFill="0" applyBorder="0" applyAlignment="0" applyProtection="0"/>
    <xf numFmtId="179" fontId="79" fillId="0" borderId="0" applyFont="0" applyFill="0" applyBorder="0" applyAlignment="0" applyProtection="0"/>
    <xf numFmtId="179" fontId="75" fillId="0" borderId="0" applyFont="0" applyFill="0" applyBorder="0" applyAlignment="0" applyProtection="0"/>
    <xf numFmtId="179" fontId="75" fillId="0" borderId="0" applyFont="0" applyFill="0" applyBorder="0" applyAlignment="0" applyProtection="0"/>
    <xf numFmtId="179" fontId="79" fillId="0" borderId="0" applyFont="0" applyFill="0" applyBorder="0" applyAlignment="0" applyProtection="0"/>
    <xf numFmtId="179" fontId="79" fillId="0" borderId="0" applyFont="0" applyFill="0" applyBorder="0" applyAlignment="0" applyProtection="0"/>
    <xf numFmtId="179" fontId="53" fillId="0" borderId="0" applyFont="0" applyFill="0" applyBorder="0" applyAlignment="0" applyProtection="0"/>
    <xf numFmtId="179" fontId="72" fillId="0" borderId="0" applyFont="0" applyFill="0" applyBorder="0" applyAlignment="0" applyProtection="0"/>
    <xf numFmtId="3" fontId="8" fillId="0" borderId="0" applyFont="0" applyFill="0" applyBorder="0" applyAlignment="0" applyProtection="0"/>
    <xf numFmtId="3" fontId="8" fillId="0" borderId="0" applyFont="0" applyFill="0" applyBorder="0" applyAlignment="0" applyProtection="0"/>
    <xf numFmtId="178" fontId="8" fillId="0" borderId="0" applyFont="0" applyFill="0" applyBorder="0" applyAlignment="0" applyProtection="0"/>
    <xf numFmtId="186" fontId="8" fillId="0" borderId="0" applyFont="0" applyFill="0" applyBorder="0" applyAlignment="0" applyProtection="0"/>
    <xf numFmtId="186" fontId="8" fillId="0" borderId="0" applyFont="0" applyFill="0" applyBorder="0" applyAlignment="0" applyProtection="0"/>
    <xf numFmtId="0" fontId="8" fillId="0" borderId="0" applyFont="0" applyFill="0" applyBorder="0" applyAlignment="0" applyProtection="0"/>
    <xf numFmtId="0" fontId="8" fillId="0" borderId="0" applyFont="0" applyFill="0" applyBorder="0" applyAlignment="0" applyProtection="0"/>
    <xf numFmtId="182" fontId="6" fillId="0" borderId="0" applyFont="0" applyFill="0" applyBorder="0" applyAlignment="0" applyProtection="0"/>
    <xf numFmtId="0" fontId="51" fillId="0" borderId="0" applyFont="0" applyFill="0" applyBorder="0" applyAlignment="0" applyProtection="0">
      <alignment vertical="top"/>
    </xf>
    <xf numFmtId="182" fontId="8" fillId="0" borderId="0" applyFont="0" applyFill="0" applyBorder="0" applyAlignment="0" applyProtection="0"/>
    <xf numFmtId="0" fontId="40" fillId="0" borderId="0" applyNumberFormat="0" applyFill="0" applyBorder="0" applyAlignment="0" applyProtection="0"/>
    <xf numFmtId="2" fontId="8" fillId="0" borderId="0" applyFont="0" applyFill="0" applyBorder="0" applyAlignment="0" applyProtection="0"/>
    <xf numFmtId="2" fontId="8" fillId="0" borderId="0" applyFont="0" applyFill="0" applyBorder="0" applyAlignment="0" applyProtection="0"/>
    <xf numFmtId="0" fontId="41" fillId="4" borderId="0" applyNumberFormat="0" applyBorder="0" applyAlignment="0" applyProtection="0"/>
    <xf numFmtId="0" fontId="54" fillId="0" borderId="3" applyNumberFormat="0" applyAlignment="0" applyProtection="0">
      <alignment horizontal="left" vertical="center"/>
    </xf>
    <xf numFmtId="0" fontId="54" fillId="0" borderId="4">
      <alignment horizontal="left" vertical="center"/>
    </xf>
    <xf numFmtId="0" fontId="42" fillId="0" borderId="5" applyNumberFormat="0" applyFill="0" applyAlignment="0" applyProtection="0"/>
    <xf numFmtId="0" fontId="43" fillId="0" borderId="6" applyNumberFormat="0" applyFill="0" applyAlignment="0" applyProtection="0"/>
    <xf numFmtId="0" fontId="44" fillId="0" borderId="7" applyNumberFormat="0" applyFill="0" applyAlignment="0" applyProtection="0"/>
    <xf numFmtId="0" fontId="44" fillId="0" borderId="0" applyNumberFormat="0" applyFill="0" applyBorder="0" applyAlignment="0" applyProtection="0"/>
    <xf numFmtId="0" fontId="69" fillId="0" borderId="0" applyNumberFormat="0" applyFill="0" applyBorder="0" applyAlignment="0" applyProtection="0">
      <alignment vertical="top"/>
      <protection locked="0"/>
    </xf>
    <xf numFmtId="0" fontId="45" fillId="7" borderId="1" applyNumberFormat="0" applyAlignment="0" applyProtection="0"/>
    <xf numFmtId="0" fontId="46" fillId="0" borderId="8" applyNumberFormat="0" applyFill="0" applyAlignment="0" applyProtection="0"/>
    <xf numFmtId="0" fontId="47" fillId="22" borderId="0" applyNumberFormat="0" applyBorder="0" applyAlignment="0" applyProtection="0"/>
    <xf numFmtId="187" fontId="55" fillId="0" borderId="0"/>
    <xf numFmtId="187" fontId="73" fillId="0" borderId="0"/>
    <xf numFmtId="0" fontId="75" fillId="0" borderId="0"/>
    <xf numFmtId="0" fontId="8" fillId="0" borderId="0"/>
    <xf numFmtId="0" fontId="35" fillId="0" borderId="0"/>
    <xf numFmtId="0" fontId="35" fillId="0" borderId="0"/>
    <xf numFmtId="0" fontId="8" fillId="0" borderId="0"/>
    <xf numFmtId="0" fontId="35" fillId="0" borderId="0"/>
    <xf numFmtId="0" fontId="35" fillId="0" borderId="0"/>
    <xf numFmtId="0" fontId="79" fillId="0" borderId="0"/>
    <xf numFmtId="0" fontId="35" fillId="0" borderId="0"/>
    <xf numFmtId="0" fontId="35" fillId="0" borderId="0"/>
    <xf numFmtId="0" fontId="79" fillId="0" borderId="0"/>
    <xf numFmtId="0" fontId="35" fillId="0" borderId="0"/>
    <xf numFmtId="0" fontId="35" fillId="0" borderId="0"/>
    <xf numFmtId="0" fontId="79" fillId="0" borderId="0"/>
    <xf numFmtId="0" fontId="35" fillId="0" borderId="0"/>
    <xf numFmtId="0" fontId="35" fillId="0" borderId="0"/>
    <xf numFmtId="0" fontId="79" fillId="0" borderId="0"/>
    <xf numFmtId="0" fontId="35" fillId="0" borderId="0"/>
    <xf numFmtId="0" fontId="35" fillId="0" borderId="0"/>
    <xf numFmtId="0" fontId="79" fillId="0" borderId="0"/>
    <xf numFmtId="0" fontId="35" fillId="0" borderId="0"/>
    <xf numFmtId="0" fontId="35" fillId="0" borderId="0"/>
    <xf numFmtId="0" fontId="79" fillId="0" borderId="0"/>
    <xf numFmtId="0" fontId="35" fillId="0" borderId="0"/>
    <xf numFmtId="0" fontId="35" fillId="0" borderId="0"/>
    <xf numFmtId="0" fontId="79" fillId="0" borderId="0"/>
    <xf numFmtId="0" fontId="35" fillId="0" borderId="0"/>
    <xf numFmtId="0" fontId="35" fillId="0" borderId="0"/>
    <xf numFmtId="0" fontId="79" fillId="0" borderId="0"/>
    <xf numFmtId="0" fontId="35" fillId="0" borderId="0"/>
    <xf numFmtId="0" fontId="35"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6" fillId="0" borderId="0"/>
    <xf numFmtId="0" fontId="6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67"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9" fillId="0" borderId="0"/>
    <xf numFmtId="0" fontId="79" fillId="0" borderId="0"/>
    <xf numFmtId="0" fontId="8" fillId="0" borderId="0"/>
    <xf numFmtId="0" fontId="8" fillId="0" borderId="0"/>
    <xf numFmtId="0" fontId="8" fillId="0" borderId="0"/>
    <xf numFmtId="0" fontId="8" fillId="0" borderId="0"/>
    <xf numFmtId="0" fontId="75" fillId="0" borderId="0"/>
    <xf numFmtId="0" fontId="35" fillId="0" borderId="0"/>
    <xf numFmtId="0" fontId="35" fillId="0" borderId="0"/>
    <xf numFmtId="0" fontId="75" fillId="0" borderId="0"/>
    <xf numFmtId="0" fontId="35" fillId="0" borderId="0"/>
    <xf numFmtId="0" fontId="35" fillId="0" borderId="0"/>
    <xf numFmtId="0" fontId="75" fillId="0" borderId="0"/>
    <xf numFmtId="0" fontId="35" fillId="0" borderId="0"/>
    <xf numFmtId="0" fontId="35" fillId="0" borderId="0"/>
    <xf numFmtId="0" fontId="75" fillId="0" borderId="0"/>
    <xf numFmtId="0" fontId="35" fillId="0" borderId="0"/>
    <xf numFmtId="0" fontId="35" fillId="0" borderId="0"/>
    <xf numFmtId="0" fontId="75" fillId="0" borderId="0"/>
    <xf numFmtId="0" fontId="35" fillId="0" borderId="0"/>
    <xf numFmtId="0" fontId="35" fillId="0" borderId="0"/>
    <xf numFmtId="0" fontId="75" fillId="0" borderId="0"/>
    <xf numFmtId="0" fontId="35" fillId="0" borderId="0"/>
    <xf numFmtId="0" fontId="35" fillId="0" borderId="0"/>
    <xf numFmtId="0" fontId="75" fillId="0" borderId="0"/>
    <xf numFmtId="0" fontId="35" fillId="0" borderId="0"/>
    <xf numFmtId="0" fontId="35" fillId="0" borderId="0"/>
    <xf numFmtId="0" fontId="75" fillId="0" borderId="0"/>
    <xf numFmtId="0" fontId="35" fillId="0" borderId="0"/>
    <xf numFmtId="0" fontId="35" fillId="0" borderId="0"/>
    <xf numFmtId="0" fontId="75" fillId="0" borderId="0"/>
    <xf numFmtId="0" fontId="35" fillId="0" borderId="0"/>
    <xf numFmtId="0" fontId="35" fillId="0" borderId="0"/>
    <xf numFmtId="0" fontId="35" fillId="0" borderId="0"/>
    <xf numFmtId="0" fontId="35" fillId="0" borderId="0"/>
    <xf numFmtId="0" fontId="8" fillId="0" borderId="0"/>
    <xf numFmtId="0" fontId="8" fillId="0" borderId="0"/>
    <xf numFmtId="0" fontId="8" fillId="0" borderId="0"/>
    <xf numFmtId="0" fontId="35" fillId="0" borderId="0"/>
    <xf numFmtId="0" fontId="8" fillId="0" borderId="0"/>
    <xf numFmtId="0" fontId="68"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8" fillId="0" borderId="0"/>
    <xf numFmtId="0" fontId="8" fillId="0" borderId="0"/>
    <xf numFmtId="0" fontId="35" fillId="0" borderId="0"/>
    <xf numFmtId="0" fontId="35" fillId="0" borderId="0"/>
    <xf numFmtId="0" fontId="8" fillId="0" borderId="0"/>
    <xf numFmtId="0" fontId="8" fillId="0" borderId="0"/>
    <xf numFmtId="0" fontId="79" fillId="0" borderId="0"/>
    <xf numFmtId="0" fontId="79" fillId="0" borderId="0"/>
    <xf numFmtId="0" fontId="68" fillId="0" borderId="0"/>
    <xf numFmtId="0" fontId="8" fillId="0" borderId="0"/>
    <xf numFmtId="0" fontId="8" fillId="0" borderId="0"/>
    <xf numFmtId="0" fontId="8" fillId="0" borderId="0"/>
    <xf numFmtId="0" fontId="35" fillId="0" borderId="0"/>
    <xf numFmtId="0" fontId="8" fillId="0" borderId="0"/>
    <xf numFmtId="0" fontId="8" fillId="0" borderId="0"/>
    <xf numFmtId="0" fontId="8" fillId="0" borderId="0"/>
    <xf numFmtId="0" fontId="68" fillId="0" borderId="0"/>
    <xf numFmtId="0" fontId="68" fillId="0" borderId="0"/>
    <xf numFmtId="0" fontId="56" fillId="0" borderId="0"/>
    <xf numFmtId="0" fontId="68" fillId="0" borderId="0"/>
    <xf numFmtId="0" fontId="79" fillId="0" borderId="0">
      <alignment vertical="center"/>
    </xf>
    <xf numFmtId="0" fontId="79" fillId="0" borderId="0">
      <alignment vertical="center"/>
    </xf>
    <xf numFmtId="0" fontId="79" fillId="0" borderId="0">
      <alignment vertical="center"/>
    </xf>
    <xf numFmtId="0" fontId="79" fillId="0" borderId="0">
      <alignment vertical="center"/>
    </xf>
    <xf numFmtId="0" fontId="51" fillId="0" borderId="0">
      <alignment vertical="top"/>
    </xf>
    <xf numFmtId="0" fontId="8" fillId="0" borderId="0"/>
    <xf numFmtId="0" fontId="8" fillId="0" borderId="0"/>
    <xf numFmtId="0" fontId="35" fillId="0" borderId="0"/>
    <xf numFmtId="0" fontId="8" fillId="0" borderId="0"/>
    <xf numFmtId="0" fontId="51" fillId="0" borderId="0">
      <alignment vertical="top"/>
    </xf>
    <xf numFmtId="0" fontId="35" fillId="0" borderId="0"/>
    <xf numFmtId="0" fontId="79" fillId="0" borderId="0">
      <alignment vertical="center"/>
    </xf>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8" fillId="0" borderId="0"/>
    <xf numFmtId="0" fontId="8" fillId="0" borderId="0"/>
    <xf numFmtId="0" fontId="75" fillId="0" borderId="0"/>
    <xf numFmtId="0" fontId="75" fillId="0" borderId="0"/>
    <xf numFmtId="0" fontId="75" fillId="0" borderId="0"/>
    <xf numFmtId="0" fontId="79" fillId="0" borderId="0"/>
    <xf numFmtId="0" fontId="35" fillId="0" borderId="0"/>
    <xf numFmtId="0" fontId="7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5" fillId="0" borderId="0"/>
    <xf numFmtId="0" fontId="75" fillId="0" borderId="0"/>
    <xf numFmtId="0" fontId="75" fillId="0" borderId="0"/>
    <xf numFmtId="0" fontId="79" fillId="0" borderId="0"/>
    <xf numFmtId="0" fontId="35" fillId="0" borderId="0"/>
    <xf numFmtId="0" fontId="79" fillId="0" borderId="0"/>
    <xf numFmtId="0" fontId="35" fillId="0" borderId="0"/>
    <xf numFmtId="0" fontId="35" fillId="0" borderId="0"/>
    <xf numFmtId="0" fontId="75" fillId="0" borderId="0"/>
    <xf numFmtId="0" fontId="75" fillId="0" borderId="0"/>
    <xf numFmtId="0" fontId="79" fillId="0" borderId="0"/>
    <xf numFmtId="0" fontId="35" fillId="0" borderId="0"/>
    <xf numFmtId="0" fontId="79" fillId="0" borderId="0"/>
    <xf numFmtId="0" fontId="35" fillId="0" borderId="0"/>
    <xf numFmtId="0" fontId="53" fillId="0" borderId="0"/>
    <xf numFmtId="0" fontId="35" fillId="0" borderId="0"/>
    <xf numFmtId="0" fontId="72" fillId="0" borderId="0"/>
    <xf numFmtId="0" fontId="35" fillId="0" borderId="0"/>
    <xf numFmtId="0" fontId="6" fillId="0" borderId="0"/>
    <xf numFmtId="0" fontId="12" fillId="0" borderId="0"/>
    <xf numFmtId="0" fontId="6" fillId="0" borderId="0"/>
    <xf numFmtId="0" fontId="8" fillId="0" borderId="0"/>
    <xf numFmtId="0" fontId="8" fillId="0" borderId="0"/>
    <xf numFmtId="0" fontId="35" fillId="23" borderId="9" applyNumberFormat="0" applyFont="0" applyAlignment="0" applyProtection="0"/>
    <xf numFmtId="0" fontId="31" fillId="0" borderId="0"/>
    <xf numFmtId="0" fontId="48" fillId="20" borderId="10" applyNumberFormat="0" applyAlignment="0" applyProtection="0"/>
    <xf numFmtId="9" fontId="51" fillId="0" borderId="0" applyFont="0" applyFill="0" applyBorder="0" applyAlignment="0" applyProtection="0">
      <alignment vertical="top"/>
    </xf>
    <xf numFmtId="9" fontId="8" fillId="0" borderId="0" applyFont="0" applyFill="0" applyBorder="0" applyAlignment="0" applyProtection="0"/>
    <xf numFmtId="9" fontId="8" fillId="0" borderId="0" applyFont="0" applyFill="0" applyBorder="0" applyAlignment="0" applyProtection="0"/>
    <xf numFmtId="9" fontId="51" fillId="0" borderId="0" applyFont="0" applyFill="0" applyBorder="0" applyAlignment="0" applyProtection="0">
      <alignment vertical="top"/>
    </xf>
    <xf numFmtId="9" fontId="67" fillId="0" borderId="0" applyFont="0" applyFill="0" applyBorder="0" applyAlignment="0" applyProtection="0"/>
    <xf numFmtId="0" fontId="12" fillId="0" borderId="0" applyNumberFormat="0" applyFont="0" applyFill="0" applyBorder="0" applyAlignment="0" applyProtection="0">
      <alignment horizontal="left"/>
    </xf>
    <xf numFmtId="15" fontId="12" fillId="0" borderId="0" applyFont="0" applyFill="0" applyBorder="0" applyAlignment="0" applyProtection="0"/>
    <xf numFmtId="0" fontId="66" fillId="0" borderId="11">
      <alignment horizontal="center"/>
    </xf>
    <xf numFmtId="0" fontId="12" fillId="24" borderId="0" applyNumberFormat="0" applyFont="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0" fillId="0" borderId="0"/>
    <xf numFmtId="0" fontId="12" fillId="0" borderId="0"/>
    <xf numFmtId="0" fontId="31" fillId="0" borderId="0"/>
    <xf numFmtId="0" fontId="57" fillId="0" borderId="0">
      <alignment vertical="center" wrapText="1"/>
      <protection locked="0"/>
    </xf>
    <xf numFmtId="0" fontId="74" fillId="0" borderId="0" applyNumberFormat="0" applyFill="0" applyBorder="0" applyAlignment="0" applyProtection="0"/>
    <xf numFmtId="0" fontId="49" fillId="0" borderId="12" applyNumberFormat="0" applyFill="0" applyAlignment="0" applyProtection="0"/>
    <xf numFmtId="0" fontId="50" fillId="0" borderId="0" applyNumberFormat="0" applyFill="0" applyBorder="0" applyAlignment="0" applyProtection="0"/>
    <xf numFmtId="40" fontId="58" fillId="0" borderId="0" applyFont="0" applyFill="0" applyBorder="0" applyAlignment="0" applyProtection="0"/>
    <xf numFmtId="38" fontId="58" fillId="0" borderId="0" applyFont="0" applyFill="0" applyBorder="0" applyAlignment="0" applyProtection="0"/>
    <xf numFmtId="0" fontId="58" fillId="0" borderId="0" applyFont="0" applyFill="0" applyBorder="0" applyAlignment="0" applyProtection="0"/>
    <xf numFmtId="0" fontId="58" fillId="0" borderId="0" applyFont="0" applyFill="0" applyBorder="0" applyAlignment="0" applyProtection="0"/>
    <xf numFmtId="9" fontId="59" fillId="0" borderId="0" applyFont="0" applyFill="0" applyBorder="0" applyAlignment="0" applyProtection="0"/>
    <xf numFmtId="0" fontId="60" fillId="0" borderId="0"/>
    <xf numFmtId="0" fontId="8" fillId="0" borderId="0" applyFont="0" applyFill="0" applyBorder="0" applyAlignment="0" applyProtection="0"/>
    <xf numFmtId="188" fontId="61" fillId="0" borderId="0" applyFont="0" applyFill="0" applyBorder="0" applyAlignment="0" applyProtection="0"/>
    <xf numFmtId="189" fontId="62" fillId="0" borderId="0" applyFont="0" applyFill="0" applyBorder="0" applyAlignment="0" applyProtection="0"/>
    <xf numFmtId="190" fontId="62" fillId="0" borderId="0" applyFont="0" applyFill="0" applyBorder="0" applyAlignment="0" applyProtection="0"/>
    <xf numFmtId="0" fontId="8" fillId="0" borderId="0"/>
    <xf numFmtId="0" fontId="63" fillId="0" borderId="0"/>
    <xf numFmtId="0" fontId="64" fillId="0" borderId="0"/>
    <xf numFmtId="176" fontId="64" fillId="0" borderId="0" applyFont="0" applyFill="0" applyBorder="0" applyAlignment="0" applyProtection="0"/>
    <xf numFmtId="177" fontId="64" fillId="0" borderId="0" applyFont="0" applyFill="0" applyBorder="0" applyAlignment="0" applyProtection="0"/>
    <xf numFmtId="0" fontId="71" fillId="0" borderId="0"/>
    <xf numFmtId="0" fontId="65" fillId="0" borderId="0"/>
    <xf numFmtId="191" fontId="64" fillId="0" borderId="0" applyFont="0" applyFill="0" applyBorder="0" applyAlignment="0" applyProtection="0"/>
    <xf numFmtId="192" fontId="64" fillId="0" borderId="0" applyFont="0" applyFill="0" applyBorder="0" applyAlignment="0" applyProtection="0"/>
    <xf numFmtId="0" fontId="85" fillId="0" borderId="0"/>
    <xf numFmtId="0" fontId="54" fillId="0" borderId="25" applyNumberFormat="0" applyFill="0" applyBorder="0" applyAlignment="0" applyProtection="0"/>
    <xf numFmtId="0" fontId="6" fillId="0" borderId="0"/>
    <xf numFmtId="182" fontId="6" fillId="0" borderId="0" applyFont="0" applyFill="0" applyBorder="0" applyAlignment="0" applyProtection="0"/>
    <xf numFmtId="0" fontId="6" fillId="0" borderId="0"/>
    <xf numFmtId="0" fontId="6" fillId="0" borderId="0"/>
    <xf numFmtId="0" fontId="5"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79" fontId="6" fillId="0" borderId="0" applyFont="0" applyFill="0" applyBorder="0" applyAlignment="0" applyProtection="0"/>
    <xf numFmtId="179" fontId="6" fillId="0" borderId="0" applyFont="0" applyFill="0" applyBorder="0" applyAlignment="0" applyProtection="0"/>
    <xf numFmtId="182" fontId="6" fillId="0" borderId="0" applyFont="0" applyFill="0" applyBorder="0" applyAlignment="0" applyProtection="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5" fillId="0" borderId="0"/>
    <xf numFmtId="0" fontId="6" fillId="0" borderId="0"/>
    <xf numFmtId="0" fontId="5" fillId="0" borderId="0"/>
    <xf numFmtId="0" fontId="5"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 fillId="0" borderId="0"/>
    <xf numFmtId="182" fontId="6"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 fillId="0" borderId="0"/>
    <xf numFmtId="0" fontId="6" fillId="0" borderId="0"/>
    <xf numFmtId="0" fontId="6" fillId="0" borderId="0"/>
    <xf numFmtId="0" fontId="5"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79" fontId="6" fillId="0" borderId="0" applyFont="0" applyFill="0" applyBorder="0" applyAlignment="0" applyProtection="0"/>
    <xf numFmtId="179" fontId="6" fillId="0" borderId="0" applyFont="0" applyFill="0" applyBorder="0" applyAlignment="0" applyProtection="0"/>
    <xf numFmtId="182" fontId="6" fillId="0" borderId="0" applyFont="0" applyFill="0" applyBorder="0" applyAlignment="0" applyProtection="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 fillId="0" borderId="0"/>
    <xf numFmtId="0" fontId="5" fillId="0" borderId="0"/>
    <xf numFmtId="0" fontId="5" fillId="0" borderId="0"/>
    <xf numFmtId="0" fontId="6" fillId="0" borderId="0"/>
    <xf numFmtId="182" fontId="6"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 fillId="0" borderId="0"/>
    <xf numFmtId="0" fontId="6" fillId="0" borderId="0"/>
    <xf numFmtId="0" fontId="6" fillId="0" borderId="0"/>
    <xf numFmtId="0" fontId="5"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79" fontId="6" fillId="0" borderId="0" applyFont="0" applyFill="0" applyBorder="0" applyAlignment="0" applyProtection="0"/>
    <xf numFmtId="179" fontId="6" fillId="0" borderId="0" applyFont="0" applyFill="0" applyBorder="0" applyAlignment="0" applyProtection="0"/>
    <xf numFmtId="182" fontId="6" fillId="0" borderId="0" applyFont="0" applyFill="0" applyBorder="0" applyAlignment="0" applyProtection="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 fillId="0" borderId="0"/>
    <xf numFmtId="0" fontId="5" fillId="0" borderId="0"/>
    <xf numFmtId="0" fontId="5"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 fillId="0" borderId="0"/>
    <xf numFmtId="182" fontId="6"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 fillId="0" borderId="0"/>
    <xf numFmtId="0" fontId="6" fillId="0" borderId="0"/>
    <xf numFmtId="0" fontId="6" fillId="0" borderId="0"/>
    <xf numFmtId="0" fontId="5"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79" fontId="6" fillId="0" borderId="0" applyFont="0" applyFill="0" applyBorder="0" applyAlignment="0" applyProtection="0"/>
    <xf numFmtId="179" fontId="6" fillId="0" borderId="0" applyFont="0" applyFill="0" applyBorder="0" applyAlignment="0" applyProtection="0"/>
    <xf numFmtId="182" fontId="6" fillId="0" borderId="0" applyFont="0" applyFill="0" applyBorder="0" applyAlignment="0" applyProtection="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 fillId="0" borderId="0"/>
    <xf numFmtId="0" fontId="5" fillId="0" borderId="0"/>
    <xf numFmtId="0" fontId="5" fillId="0" borderId="0"/>
    <xf numFmtId="0" fontId="6" fillId="0" borderId="0"/>
    <xf numFmtId="182" fontId="6"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 fillId="0" borderId="0"/>
    <xf numFmtId="182" fontId="6"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6"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79" fontId="6" fillId="0" borderId="0" applyFont="0" applyFill="0" applyBorder="0" applyAlignment="0" applyProtection="0"/>
    <xf numFmtId="177" fontId="6" fillId="0" borderId="0" applyFont="0" applyFill="0" applyBorder="0" applyAlignment="0" applyProtection="0"/>
    <xf numFmtId="184" fontId="6" fillId="0" borderId="0" applyFont="0" applyFill="0" applyBorder="0" applyAlignment="0" applyProtection="0"/>
    <xf numFmtId="179" fontId="6" fillId="0" borderId="0" applyFont="0" applyFill="0" applyBorder="0" applyAlignment="0" applyProtection="0"/>
    <xf numFmtId="184" fontId="6" fillId="0" borderId="0" applyFont="0" applyFill="0" applyBorder="0" applyAlignment="0" applyProtection="0"/>
    <xf numFmtId="185" fontId="6" fillId="0" borderId="0" applyFont="0" applyFill="0" applyBorder="0" applyAlignment="0" applyProtection="0"/>
    <xf numFmtId="179" fontId="2" fillId="0" borderId="0" applyFont="0" applyFill="0" applyBorder="0" applyAlignment="0" applyProtection="0"/>
    <xf numFmtId="185" fontId="6" fillId="0" borderId="0" applyFont="0" applyFill="0" applyBorder="0" applyAlignment="0" applyProtection="0"/>
    <xf numFmtId="184" fontId="6" fillId="0" borderId="0" applyFont="0" applyFill="0" applyBorder="0" applyAlignment="0" applyProtection="0"/>
    <xf numFmtId="184" fontId="6" fillId="0" borderId="0" applyFont="0" applyFill="0" applyBorder="0" applyAlignment="0" applyProtection="0"/>
    <xf numFmtId="179" fontId="2" fillId="0" borderId="0" applyFont="0" applyFill="0" applyBorder="0" applyAlignment="0" applyProtection="0"/>
    <xf numFmtId="179" fontId="2" fillId="0" borderId="0" applyFont="0" applyFill="0" applyBorder="0" applyAlignment="0" applyProtection="0"/>
    <xf numFmtId="179" fontId="2" fillId="0" borderId="0" applyFont="0" applyFill="0" applyBorder="0" applyAlignment="0" applyProtection="0"/>
    <xf numFmtId="179" fontId="2" fillId="0" borderId="0" applyFont="0" applyFill="0" applyBorder="0" applyAlignment="0" applyProtection="0"/>
    <xf numFmtId="179" fontId="2" fillId="0" borderId="0" applyFont="0" applyFill="0" applyBorder="0" applyAlignment="0" applyProtection="0"/>
    <xf numFmtId="179" fontId="2" fillId="0" borderId="0" applyFont="0" applyFill="0" applyBorder="0" applyAlignment="0" applyProtection="0"/>
    <xf numFmtId="3" fontId="6" fillId="0" borderId="0" applyFont="0" applyFill="0" applyBorder="0" applyAlignment="0" applyProtection="0"/>
    <xf numFmtId="3" fontId="6" fillId="0" borderId="0" applyFont="0" applyFill="0" applyBorder="0" applyAlignment="0" applyProtection="0"/>
    <xf numFmtId="178" fontId="6" fillId="0" borderId="0" applyFont="0" applyFill="0" applyBorder="0" applyAlignment="0" applyProtection="0"/>
    <xf numFmtId="186" fontId="6" fillId="0" borderId="0" applyFont="0" applyFill="0" applyBorder="0" applyAlignment="0" applyProtection="0"/>
    <xf numFmtId="186" fontId="6" fillId="0" borderId="0" applyFont="0" applyFill="0" applyBorder="0" applyAlignment="0" applyProtection="0"/>
    <xf numFmtId="0" fontId="6" fillId="0" borderId="0" applyFont="0" applyFill="0" applyBorder="0" applyAlignment="0" applyProtection="0"/>
    <xf numFmtId="0" fontId="6" fillId="0" borderId="0" applyFont="0" applyFill="0" applyBorder="0" applyAlignment="0" applyProtection="0"/>
    <xf numFmtId="2" fontId="6" fillId="0" borderId="0" applyFont="0" applyFill="0" applyBorder="0" applyAlignment="0" applyProtection="0"/>
    <xf numFmtId="2" fontId="6" fillId="0" borderId="0" applyFont="0" applyFill="0" applyBorder="0" applyAlignment="0" applyProtection="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48" fillId="20" borderId="31" applyNumberFormat="0" applyAlignment="0" applyProtection="0"/>
    <xf numFmtId="9" fontId="6" fillId="0" borderId="0" applyFont="0" applyFill="0" applyBorder="0" applyAlignment="0" applyProtection="0"/>
    <xf numFmtId="9"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9" fillId="0" borderId="32" applyNumberFormat="0" applyFill="0" applyAlignment="0" applyProtection="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05" fillId="0" borderId="0" applyFont="0" applyFill="0" applyBorder="0" applyAlignment="0" applyProtection="0">
      <alignment vertical="center"/>
    </xf>
  </cellStyleXfs>
  <cellXfs count="781">
    <xf numFmtId="0" fontId="0" fillId="0" borderId="0" xfId="0"/>
    <xf numFmtId="0" fontId="7" fillId="0" borderId="0" xfId="325" applyFont="1" applyFill="1" applyAlignment="1">
      <alignment vertical="top"/>
    </xf>
    <xf numFmtId="0" fontId="9" fillId="0" borderId="0" xfId="325" applyFont="1" applyFill="1" applyAlignment="1">
      <alignment vertical="top"/>
    </xf>
    <xf numFmtId="0" fontId="9" fillId="0" borderId="0" xfId="325" applyFont="1" applyFill="1" applyAlignment="1">
      <alignment vertical="top" wrapText="1"/>
    </xf>
    <xf numFmtId="0" fontId="8" fillId="0" borderId="0" xfId="325"/>
    <xf numFmtId="0" fontId="9" fillId="0" borderId="0" xfId="0" applyFont="1"/>
    <xf numFmtId="0" fontId="10" fillId="0" borderId="0" xfId="0" applyFont="1"/>
    <xf numFmtId="4" fontId="9" fillId="0" borderId="0" xfId="0" applyNumberFormat="1" applyFont="1" applyBorder="1" applyAlignment="1"/>
    <xf numFmtId="0" fontId="19" fillId="0" borderId="0" xfId="325" applyFont="1" applyFill="1" applyAlignment="1">
      <alignment vertical="top"/>
    </xf>
    <xf numFmtId="0" fontId="9" fillId="0" borderId="0" xfId="325" applyFont="1"/>
    <xf numFmtId="0" fontId="9" fillId="0" borderId="0" xfId="325" quotePrefix="1" applyFont="1" applyFill="1" applyAlignment="1">
      <alignment horizontal="center" vertical="top" wrapText="1"/>
    </xf>
    <xf numFmtId="0" fontId="9" fillId="0" borderId="14" xfId="0" applyFont="1" applyBorder="1"/>
    <xf numFmtId="4" fontId="9" fillId="0" borderId="14" xfId="0" applyNumberFormat="1" applyFont="1" applyBorder="1" applyAlignment="1"/>
    <xf numFmtId="4" fontId="9" fillId="25" borderId="0" xfId="0" applyNumberFormat="1" applyFont="1" applyFill="1" applyBorder="1" applyAlignment="1"/>
    <xf numFmtId="4" fontId="9" fillId="0" borderId="15" xfId="0" applyNumberFormat="1" applyFont="1" applyBorder="1" applyAlignment="1"/>
    <xf numFmtId="0" fontId="9" fillId="25" borderId="14" xfId="0" applyFont="1" applyFill="1" applyBorder="1"/>
    <xf numFmtId="0" fontId="14" fillId="25" borderId="0" xfId="0" applyFont="1" applyFill="1" applyBorder="1" applyAlignment="1">
      <alignment horizontal="center"/>
    </xf>
    <xf numFmtId="0" fontId="14" fillId="25" borderId="14" xfId="0" applyFont="1" applyFill="1" applyBorder="1" applyAlignment="1">
      <alignment horizontal="center"/>
    </xf>
    <xf numFmtId="4" fontId="9" fillId="25" borderId="14" xfId="0" applyNumberFormat="1" applyFont="1" applyFill="1" applyBorder="1" applyAlignment="1"/>
    <xf numFmtId="0" fontId="9" fillId="25" borderId="0" xfId="0" applyFont="1" applyFill="1" applyBorder="1" applyAlignment="1">
      <alignment horizontal="center"/>
    </xf>
    <xf numFmtId="0" fontId="9" fillId="25" borderId="0" xfId="0" applyFont="1" applyFill="1" applyBorder="1"/>
    <xf numFmtId="4" fontId="9" fillId="25" borderId="0" xfId="0" applyNumberFormat="1" applyFont="1" applyFill="1" applyBorder="1" applyAlignment="1">
      <alignment wrapText="1"/>
    </xf>
    <xf numFmtId="0" fontId="9" fillId="0" borderId="0" xfId="325" applyFont="1" applyFill="1" applyBorder="1" applyAlignment="1">
      <alignment vertical="center" wrapText="1"/>
    </xf>
    <xf numFmtId="0" fontId="9" fillId="25" borderId="15" xfId="0" applyFont="1" applyFill="1" applyBorder="1" applyAlignment="1">
      <alignment horizontal="center"/>
    </xf>
    <xf numFmtId="0" fontId="13" fillId="0" borderId="15" xfId="0" applyFont="1" applyBorder="1" applyAlignment="1">
      <alignment horizontal="center"/>
    </xf>
    <xf numFmtId="49" fontId="17" fillId="25" borderId="15" xfId="0" applyNumberFormat="1" applyFont="1" applyFill="1" applyBorder="1"/>
    <xf numFmtId="49" fontId="17" fillId="25" borderId="0" xfId="0" applyNumberFormat="1" applyFont="1" applyFill="1" applyBorder="1"/>
    <xf numFmtId="2" fontId="17" fillId="25" borderId="0" xfId="0" applyNumberFormat="1" applyFont="1" applyFill="1" applyBorder="1"/>
    <xf numFmtId="49" fontId="18" fillId="25" borderId="15" xfId="0" quotePrefix="1" applyNumberFormat="1" applyFont="1" applyFill="1" applyBorder="1"/>
    <xf numFmtId="49" fontId="18" fillId="25" borderId="0" xfId="0" quotePrefix="1" applyNumberFormat="1" applyFont="1" applyFill="1" applyBorder="1"/>
    <xf numFmtId="181" fontId="18" fillId="25" borderId="0" xfId="0" quotePrefix="1" applyNumberFormat="1" applyFont="1" applyFill="1" applyBorder="1" applyAlignment="1" applyProtection="1">
      <alignment horizontal="left"/>
      <protection locked="0"/>
    </xf>
    <xf numFmtId="0" fontId="9" fillId="25" borderId="14" xfId="0" applyFont="1" applyFill="1" applyBorder="1" applyAlignment="1">
      <alignment horizontal="center"/>
    </xf>
    <xf numFmtId="0" fontId="9" fillId="25" borderId="15" xfId="0" applyFont="1" applyFill="1" applyBorder="1"/>
    <xf numFmtId="0" fontId="9" fillId="25" borderId="15" xfId="322" applyFont="1" applyFill="1" applyBorder="1"/>
    <xf numFmtId="0" fontId="9" fillId="25" borderId="18" xfId="0" applyFont="1" applyFill="1" applyBorder="1"/>
    <xf numFmtId="0" fontId="9" fillId="25" borderId="16" xfId="0" applyFont="1" applyFill="1" applyBorder="1"/>
    <xf numFmtId="0" fontId="9" fillId="25" borderId="19" xfId="0" applyFont="1" applyFill="1" applyBorder="1"/>
    <xf numFmtId="0" fontId="13" fillId="0" borderId="0" xfId="0" applyFont="1" applyBorder="1" applyAlignment="1">
      <alignment horizontal="center"/>
    </xf>
    <xf numFmtId="181" fontId="13" fillId="0" borderId="14" xfId="0" applyNumberFormat="1" applyFont="1" applyFill="1" applyBorder="1" applyAlignment="1" applyProtection="1">
      <alignment horizontal="center"/>
      <protection locked="0"/>
    </xf>
    <xf numFmtId="0" fontId="9" fillId="0" borderId="0" xfId="322" quotePrefix="1" applyFont="1" applyBorder="1"/>
    <xf numFmtId="0" fontId="27" fillId="25" borderId="15" xfId="0" applyFont="1" applyFill="1" applyBorder="1"/>
    <xf numFmtId="0" fontId="27" fillId="25" borderId="0" xfId="0" applyFont="1" applyFill="1" applyBorder="1"/>
    <xf numFmtId="0" fontId="26" fillId="25" borderId="15" xfId="0" applyFont="1" applyFill="1" applyBorder="1" applyAlignment="1"/>
    <xf numFmtId="0" fontId="26" fillId="25" borderId="0" xfId="0" applyFont="1" applyFill="1" applyBorder="1" applyAlignment="1"/>
    <xf numFmtId="0" fontId="9" fillId="25" borderId="0" xfId="0" applyFont="1" applyFill="1" applyBorder="1" applyAlignment="1"/>
    <xf numFmtId="0" fontId="9" fillId="25" borderId="0" xfId="322" applyFont="1" applyFill="1" applyBorder="1" applyAlignment="1"/>
    <xf numFmtId="0" fontId="9" fillId="25" borderId="16" xfId="0" applyFont="1" applyFill="1" applyBorder="1" applyAlignment="1"/>
    <xf numFmtId="0" fontId="28" fillId="25" borderId="15" xfId="0" applyFont="1" applyFill="1" applyBorder="1"/>
    <xf numFmtId="0" fontId="28" fillId="25" borderId="0" xfId="0" applyFont="1" applyFill="1" applyBorder="1"/>
    <xf numFmtId="0" fontId="9" fillId="0" borderId="15" xfId="322" quotePrefix="1" applyFont="1" applyBorder="1" applyAlignment="1">
      <alignment horizontal="center"/>
    </xf>
    <xf numFmtId="0" fontId="9" fillId="25" borderId="15" xfId="0" applyFont="1" applyFill="1" applyBorder="1" applyAlignment="1"/>
    <xf numFmtId="181" fontId="9" fillId="25" borderId="14" xfId="0" applyNumberFormat="1" applyFont="1" applyFill="1" applyBorder="1" applyAlignment="1" applyProtection="1">
      <protection locked="0"/>
    </xf>
    <xf numFmtId="0" fontId="8" fillId="0" borderId="15" xfId="325" applyBorder="1"/>
    <xf numFmtId="180" fontId="9" fillId="0" borderId="14" xfId="323" applyNumberFormat="1" applyFont="1" applyFill="1" applyBorder="1" applyAlignment="1" applyProtection="1">
      <alignment horizontal="left"/>
      <protection locked="0"/>
    </xf>
    <xf numFmtId="0" fontId="9" fillId="0" borderId="14" xfId="323" applyNumberFormat="1" applyFont="1" applyFill="1" applyBorder="1" applyAlignment="1" applyProtection="1">
      <alignment horizontal="left"/>
      <protection locked="0"/>
    </xf>
    <xf numFmtId="49" fontId="9" fillId="0" borderId="14" xfId="323" applyNumberFormat="1" applyFont="1" applyFill="1" applyBorder="1" applyAlignment="1" applyProtection="1">
      <alignment horizontal="left"/>
      <protection locked="0"/>
    </xf>
    <xf numFmtId="49" fontId="9" fillId="0" borderId="14" xfId="0" applyNumberFormat="1" applyFont="1" applyFill="1" applyBorder="1" applyAlignment="1" applyProtection="1">
      <alignment horizontal="left"/>
      <protection locked="0"/>
    </xf>
    <xf numFmtId="0" fontId="9" fillId="0" borderId="14" xfId="0" applyNumberFormat="1" applyFont="1" applyFill="1" applyBorder="1" applyAlignment="1" applyProtection="1">
      <alignment horizontal="left"/>
      <protection locked="0"/>
    </xf>
    <xf numFmtId="0" fontId="9" fillId="0" borderId="14" xfId="0" applyNumberFormat="1" applyFont="1" applyFill="1" applyBorder="1" applyProtection="1">
      <protection locked="0"/>
    </xf>
    <xf numFmtId="180" fontId="9" fillId="0" borderId="14" xfId="0" applyNumberFormat="1" applyFont="1" applyFill="1" applyBorder="1" applyProtection="1">
      <protection locked="0"/>
    </xf>
    <xf numFmtId="1" fontId="9" fillId="0" borderId="0" xfId="0" applyNumberFormat="1" applyFont="1" applyBorder="1" applyAlignment="1"/>
    <xf numFmtId="1" fontId="9" fillId="25" borderId="0" xfId="0" applyNumberFormat="1" applyFont="1" applyFill="1" applyBorder="1" applyAlignment="1"/>
    <xf numFmtId="1" fontId="13" fillId="0" borderId="0" xfId="0" applyNumberFormat="1" applyFont="1" applyBorder="1" applyAlignment="1">
      <alignment horizontal="center"/>
    </xf>
    <xf numFmtId="0" fontId="9" fillId="0" borderId="0" xfId="325" applyFont="1" applyFill="1" applyAlignment="1">
      <alignment horizontal="center" vertical="top" wrapText="1"/>
    </xf>
    <xf numFmtId="4" fontId="9" fillId="25" borderId="15" xfId="0" applyNumberFormat="1" applyFont="1" applyFill="1" applyBorder="1" applyAlignment="1">
      <alignment horizontal="center"/>
    </xf>
    <xf numFmtId="4" fontId="9" fillId="25" borderId="0" xfId="0" applyNumberFormat="1" applyFont="1" applyFill="1" applyBorder="1" applyAlignment="1">
      <alignment horizontal="center"/>
    </xf>
    <xf numFmtId="4" fontId="9" fillId="25" borderId="0" xfId="0" applyNumberFormat="1" applyFont="1" applyFill="1" applyBorder="1"/>
    <xf numFmtId="0" fontId="9" fillId="0" borderId="0" xfId="325" applyFont="1" applyAlignment="1">
      <alignment horizontal="center"/>
    </xf>
    <xf numFmtId="180" fontId="9" fillId="0" borderId="0" xfId="323" applyNumberFormat="1" applyFont="1" applyFill="1" applyBorder="1" applyAlignment="1" applyProtection="1">
      <alignment horizontal="center"/>
      <protection locked="0"/>
    </xf>
    <xf numFmtId="180" fontId="9" fillId="0" borderId="0" xfId="323" quotePrefix="1" applyNumberFormat="1" applyFont="1" applyFill="1" applyBorder="1" applyAlignment="1" applyProtection="1">
      <alignment horizontal="center"/>
      <protection locked="0"/>
    </xf>
    <xf numFmtId="49" fontId="9" fillId="0" borderId="0" xfId="323" applyNumberFormat="1" applyFont="1" applyFill="1" applyBorder="1" applyAlignment="1" applyProtection="1">
      <alignment horizontal="center"/>
      <protection locked="0"/>
    </xf>
    <xf numFmtId="49" fontId="9" fillId="0" borderId="0" xfId="323" quotePrefix="1" applyNumberFormat="1" applyFont="1" applyFill="1" applyBorder="1" applyAlignment="1" applyProtection="1">
      <alignment horizontal="center"/>
      <protection locked="0"/>
    </xf>
    <xf numFmtId="0" fontId="9" fillId="0" borderId="0" xfId="0" applyNumberFormat="1" applyFont="1" applyFill="1" applyBorder="1" applyAlignment="1" applyProtection="1">
      <alignment horizontal="center"/>
      <protection locked="0"/>
    </xf>
    <xf numFmtId="49" fontId="9" fillId="0" borderId="0" xfId="0" quotePrefix="1" applyNumberFormat="1" applyFont="1" applyFill="1" applyBorder="1" applyAlignment="1" applyProtection="1">
      <alignment horizontal="center"/>
      <protection locked="0"/>
    </xf>
    <xf numFmtId="49" fontId="9" fillId="0" borderId="0" xfId="0" applyNumberFormat="1" applyFont="1" applyFill="1" applyBorder="1" applyAlignment="1" applyProtection="1">
      <alignment horizontal="center"/>
      <protection locked="0"/>
    </xf>
    <xf numFmtId="3" fontId="9" fillId="0" borderId="0" xfId="325" applyNumberFormat="1" applyFont="1" applyFill="1" applyAlignment="1">
      <alignment horizontal="center" vertical="top" wrapText="1"/>
    </xf>
    <xf numFmtId="180" fontId="9" fillId="0" borderId="0" xfId="0" applyNumberFormat="1" applyFont="1" applyFill="1" applyBorder="1" applyAlignment="1" applyProtection="1">
      <alignment horizontal="center"/>
      <protection locked="0"/>
    </xf>
    <xf numFmtId="180" fontId="9" fillId="0" borderId="0" xfId="0" quotePrefix="1" applyNumberFormat="1" applyFont="1" applyFill="1" applyBorder="1" applyAlignment="1" applyProtection="1">
      <alignment horizontal="center"/>
      <protection locked="0"/>
    </xf>
    <xf numFmtId="49" fontId="22" fillId="0" borderId="0" xfId="0" quotePrefix="1" applyNumberFormat="1" applyFont="1" applyFill="1" applyBorder="1" applyAlignment="1" applyProtection="1">
      <alignment horizontal="center"/>
      <protection locked="0"/>
    </xf>
    <xf numFmtId="0" fontId="0" fillId="0" borderId="0" xfId="0" applyAlignment="1">
      <alignment horizontal="center"/>
    </xf>
    <xf numFmtId="0" fontId="9" fillId="0" borderId="0" xfId="0" applyFont="1" applyBorder="1"/>
    <xf numFmtId="0" fontId="0" fillId="0" borderId="0" xfId="0" applyBorder="1"/>
    <xf numFmtId="0" fontId="30" fillId="0" borderId="0" xfId="325" applyFont="1" applyFill="1" applyBorder="1" applyAlignment="1">
      <alignment vertical="top"/>
    </xf>
    <xf numFmtId="0" fontId="29" fillId="0" borderId="0" xfId="325" applyFont="1" applyFill="1" applyBorder="1" applyAlignment="1">
      <alignment horizontal="right" vertical="top"/>
    </xf>
    <xf numFmtId="0" fontId="13" fillId="0" borderId="0" xfId="325" applyFont="1" applyFill="1" applyAlignment="1">
      <alignment horizontal="center" vertical="top"/>
    </xf>
    <xf numFmtId="0" fontId="10" fillId="0" borderId="0" xfId="325" applyFont="1" applyFill="1" applyBorder="1" applyAlignment="1">
      <alignment horizontal="right" vertical="top" wrapText="1"/>
    </xf>
    <xf numFmtId="0" fontId="9" fillId="0" borderId="0" xfId="325" applyFont="1" applyFill="1" applyAlignment="1">
      <alignment horizontal="center"/>
    </xf>
    <xf numFmtId="0" fontId="9" fillId="0" borderId="15" xfId="325" applyFont="1" applyFill="1" applyBorder="1"/>
    <xf numFmtId="4" fontId="9" fillId="0" borderId="0" xfId="0" applyNumberFormat="1" applyFont="1" applyBorder="1" applyAlignment="1">
      <alignment horizontal="center"/>
    </xf>
    <xf numFmtId="3" fontId="9" fillId="0" borderId="0" xfId="0" applyNumberFormat="1" applyFont="1" applyBorder="1" applyAlignment="1">
      <alignment horizontal="center"/>
    </xf>
    <xf numFmtId="4" fontId="76" fillId="0" borderId="15" xfId="0" applyNumberFormat="1" applyFont="1" applyBorder="1" applyAlignment="1">
      <alignment horizontal="center"/>
    </xf>
    <xf numFmtId="180" fontId="9" fillId="0" borderId="14" xfId="0" applyNumberFormat="1" applyFont="1" applyFill="1" applyBorder="1" applyAlignment="1" applyProtection="1">
      <protection locked="0"/>
    </xf>
    <xf numFmtId="49" fontId="9" fillId="0" borderId="14" xfId="0" applyNumberFormat="1" applyFont="1" applyFill="1" applyBorder="1" applyAlignment="1" applyProtection="1">
      <protection locked="0"/>
    </xf>
    <xf numFmtId="49" fontId="9" fillId="0" borderId="14" xfId="323" applyNumberFormat="1" applyFont="1" applyFill="1" applyBorder="1" applyAlignment="1" applyProtection="1">
      <protection locked="0"/>
    </xf>
    <xf numFmtId="0" fontId="9" fillId="0" borderId="14" xfId="0" applyNumberFormat="1" applyFont="1" applyFill="1" applyBorder="1" applyAlignment="1" applyProtection="1">
      <protection locked="0"/>
    </xf>
    <xf numFmtId="0" fontId="9" fillId="0" borderId="0" xfId="325" quotePrefix="1" applyFont="1" applyFill="1" applyAlignment="1">
      <alignment horizontal="center" wrapText="1"/>
    </xf>
    <xf numFmtId="49" fontId="10" fillId="0" borderId="24" xfId="324" quotePrefix="1" applyNumberFormat="1" applyFont="1" applyFill="1" applyBorder="1" applyAlignment="1" applyProtection="1">
      <alignment horizontal="left"/>
      <protection locked="0"/>
    </xf>
    <xf numFmtId="49" fontId="10" fillId="0" borderId="24" xfId="323" applyNumberFormat="1" applyFont="1" applyFill="1" applyBorder="1" applyAlignment="1" applyProtection="1">
      <alignment horizontal="left"/>
      <protection locked="0"/>
    </xf>
    <xf numFmtId="0" fontId="10" fillId="0" borderId="24" xfId="0" applyFont="1" applyBorder="1"/>
    <xf numFmtId="0" fontId="10" fillId="0" borderId="24" xfId="0" applyFont="1" applyBorder="1" applyAlignment="1"/>
    <xf numFmtId="0" fontId="19" fillId="0" borderId="0" xfId="325" applyFont="1" applyFill="1" applyAlignment="1">
      <alignment horizontal="center" vertical="top"/>
    </xf>
    <xf numFmtId="0" fontId="32" fillId="0" borderId="0" xfId="325" applyFont="1" applyFill="1" applyBorder="1" applyAlignment="1">
      <alignment vertical="top"/>
    </xf>
    <xf numFmtId="0" fontId="9" fillId="0" borderId="0" xfId="0" applyFont="1" applyAlignment="1"/>
    <xf numFmtId="0" fontId="10" fillId="27" borderId="23" xfId="321" applyFont="1" applyFill="1" applyBorder="1" applyAlignment="1">
      <alignment horizontal="center"/>
    </xf>
    <xf numFmtId="0" fontId="83" fillId="0" borderId="0" xfId="0" applyFont="1" applyFill="1" applyBorder="1"/>
    <xf numFmtId="0" fontId="13" fillId="0" borderId="0" xfId="325" applyFont="1" applyFill="1" applyAlignment="1">
      <alignment vertical="top"/>
    </xf>
    <xf numFmtId="0" fontId="84" fillId="0" borderId="0" xfId="0" applyFont="1" applyFill="1" applyBorder="1"/>
    <xf numFmtId="0" fontId="13" fillId="27" borderId="0" xfId="325" applyFont="1" applyFill="1" applyAlignment="1">
      <alignment horizontal="center" vertical="top" wrapText="1"/>
    </xf>
    <xf numFmtId="0" fontId="13" fillId="27" borderId="14" xfId="325" applyFont="1" applyFill="1" applyBorder="1" applyAlignment="1">
      <alignment horizontal="center" vertical="top" wrapText="1"/>
    </xf>
    <xf numFmtId="0" fontId="9" fillId="0" borderId="0" xfId="325" applyFont="1" applyFill="1" applyBorder="1" applyAlignment="1">
      <alignment vertical="top" wrapText="1"/>
    </xf>
    <xf numFmtId="0" fontId="13" fillId="0" borderId="0" xfId="325" applyFont="1" applyFill="1" applyBorder="1" applyAlignment="1">
      <alignment vertical="center" wrapText="1"/>
    </xf>
    <xf numFmtId="0" fontId="13" fillId="27" borderId="15" xfId="325" applyFont="1" applyFill="1" applyBorder="1" applyAlignment="1">
      <alignment horizontal="center" vertical="top" wrapText="1"/>
    </xf>
    <xf numFmtId="0" fontId="13" fillId="27" borderId="15" xfId="0" applyFont="1" applyFill="1" applyBorder="1" applyAlignment="1">
      <alignment horizontal="center"/>
    </xf>
    <xf numFmtId="0" fontId="13" fillId="27" borderId="0" xfId="0" applyFont="1" applyFill="1" applyBorder="1" applyAlignment="1">
      <alignment horizontal="center"/>
    </xf>
    <xf numFmtId="181" fontId="13" fillId="27" borderId="14" xfId="0" applyNumberFormat="1" applyFont="1" applyFill="1" applyBorder="1" applyAlignment="1" applyProtection="1">
      <alignment horizontal="center"/>
      <protection locked="0"/>
    </xf>
    <xf numFmtId="0" fontId="85" fillId="0" borderId="0" xfId="418"/>
    <xf numFmtId="49" fontId="85" fillId="0" borderId="0" xfId="418" applyNumberFormat="1"/>
    <xf numFmtId="0" fontId="54" fillId="0" borderId="0" xfId="419" applyBorder="1"/>
    <xf numFmtId="0" fontId="85" fillId="0" borderId="0" xfId="418" applyAlignment="1">
      <alignment horizontal="left" wrapText="1"/>
    </xf>
    <xf numFmtId="49" fontId="86" fillId="0" borderId="0" xfId="418" applyNumberFormat="1" applyFont="1" applyBorder="1"/>
    <xf numFmtId="0" fontId="86" fillId="0" borderId="0" xfId="418" applyNumberFormat="1" applyFont="1" applyBorder="1"/>
    <xf numFmtId="49" fontId="86" fillId="0" borderId="0" xfId="418" applyNumberFormat="1" applyFont="1" applyBorder="1" applyAlignment="1">
      <alignment wrapText="1"/>
    </xf>
    <xf numFmtId="0" fontId="86" fillId="0" borderId="0" xfId="418" applyNumberFormat="1" applyFont="1" applyBorder="1" applyAlignment="1">
      <alignment wrapText="1"/>
    </xf>
    <xf numFmtId="0" fontId="86" fillId="0" borderId="26" xfId="418" applyNumberFormat="1" applyFont="1" applyBorder="1" applyAlignment="1">
      <alignment wrapText="1"/>
    </xf>
    <xf numFmtId="49" fontId="88" fillId="0" borderId="27" xfId="418" applyNumberFormat="1" applyFont="1" applyBorder="1" applyAlignment="1">
      <alignment horizontal="center"/>
    </xf>
    <xf numFmtId="49" fontId="88" fillId="0" borderId="28" xfId="418" applyNumberFormat="1" applyFont="1" applyBorder="1" applyAlignment="1">
      <alignment horizontal="center"/>
    </xf>
    <xf numFmtId="49" fontId="88" fillId="0" borderId="29" xfId="418" applyNumberFormat="1" applyFont="1" applyBorder="1" applyAlignment="1">
      <alignment horizontal="center"/>
    </xf>
    <xf numFmtId="49" fontId="89" fillId="0" borderId="0" xfId="418" applyNumberFormat="1" applyFont="1"/>
    <xf numFmtId="183" fontId="86" fillId="0" borderId="26" xfId="418" applyNumberFormat="1" applyFont="1" applyBorder="1" applyAlignment="1">
      <alignment wrapText="1"/>
    </xf>
    <xf numFmtId="0" fontId="6" fillId="0" borderId="0" xfId="496"/>
    <xf numFmtId="0" fontId="83" fillId="0" borderId="0" xfId="423" applyFont="1" applyFill="1" applyBorder="1"/>
    <xf numFmtId="0" fontId="90" fillId="0" borderId="0" xfId="496" applyFont="1"/>
    <xf numFmtId="0" fontId="91" fillId="0" borderId="0" xfId="496" applyFont="1" applyAlignment="1">
      <alignment horizontal="left"/>
    </xf>
    <xf numFmtId="0" fontId="90" fillId="0" borderId="0" xfId="496" applyFont="1" applyFill="1" applyAlignment="1">
      <alignment horizontal="center"/>
    </xf>
    <xf numFmtId="0" fontId="92" fillId="28" borderId="23" xfId="496" applyFont="1" applyFill="1" applyBorder="1" applyAlignment="1">
      <alignment horizontal="center"/>
    </xf>
    <xf numFmtId="0" fontId="90" fillId="0" borderId="23" xfId="496" applyFont="1" applyBorder="1" applyAlignment="1">
      <alignment horizontal="center"/>
    </xf>
    <xf numFmtId="0" fontId="6" fillId="0" borderId="0" xfId="422"/>
    <xf numFmtId="0" fontId="90" fillId="0" borderId="0" xfId="422" applyFont="1"/>
    <xf numFmtId="0" fontId="92" fillId="0" borderId="0" xfId="422" applyFont="1"/>
    <xf numFmtId="0" fontId="9" fillId="0" borderId="0" xfId="1737" applyFont="1" applyFill="1" applyBorder="1" applyAlignment="1">
      <alignment horizontal="center" vertical="top" wrapText="1"/>
    </xf>
    <xf numFmtId="0" fontId="32" fillId="0" borderId="0" xfId="1737" applyFont="1" applyFill="1" applyBorder="1" applyAlignment="1">
      <alignment horizontal="center" vertical="top"/>
    </xf>
    <xf numFmtId="0" fontId="32" fillId="0" borderId="0" xfId="1737" applyFont="1" applyFill="1" applyBorder="1" applyAlignment="1">
      <alignment vertical="top"/>
    </xf>
    <xf numFmtId="0" fontId="10" fillId="0" borderId="0" xfId="0" applyFont="1" applyFill="1" applyBorder="1"/>
    <xf numFmtId="0" fontId="90" fillId="0" borderId="0" xfId="0" applyFont="1" applyAlignment="1">
      <alignment horizontal="center"/>
    </xf>
    <xf numFmtId="0" fontId="90" fillId="0" borderId="0" xfId="0" applyFont="1" applyFill="1" applyAlignment="1">
      <alignment horizontal="center"/>
    </xf>
    <xf numFmtId="0" fontId="9" fillId="0" borderId="0" xfId="0" applyFont="1" applyAlignment="1">
      <alignment horizontal="center"/>
    </xf>
    <xf numFmtId="10" fontId="10" fillId="31" borderId="23" xfId="0" applyNumberFormat="1" applyFont="1" applyFill="1" applyBorder="1"/>
    <xf numFmtId="0" fontId="13" fillId="0" borderId="0" xfId="1737" applyFont="1" applyFill="1" applyBorder="1" applyAlignment="1">
      <alignment horizontal="center"/>
    </xf>
    <xf numFmtId="0" fontId="96" fillId="0" borderId="23" xfId="0" applyFont="1" applyBorder="1"/>
    <xf numFmtId="0" fontId="92" fillId="0" borderId="23" xfId="0" applyFont="1" applyBorder="1"/>
    <xf numFmtId="0" fontId="90" fillId="0" borderId="0" xfId="0" applyFont="1" applyFill="1"/>
    <xf numFmtId="10" fontId="90" fillId="0" borderId="23" xfId="0" applyNumberFormat="1" applyFont="1" applyBorder="1"/>
    <xf numFmtId="10" fontId="96" fillId="0" borderId="23" xfId="0" applyNumberFormat="1" applyFont="1" applyBorder="1" applyAlignment="1">
      <alignment horizontal="center"/>
    </xf>
    <xf numFmtId="0" fontId="10" fillId="31" borderId="23" xfId="0" applyFont="1" applyFill="1" applyBorder="1"/>
    <xf numFmtId="0" fontId="9" fillId="0" borderId="0" xfId="0" applyFont="1" applyFill="1"/>
    <xf numFmtId="0" fontId="9" fillId="0" borderId="0" xfId="1737" applyFont="1" applyFill="1" applyBorder="1" applyAlignment="1">
      <alignment horizontal="center" vertical="top"/>
    </xf>
    <xf numFmtId="0" fontId="90" fillId="0" borderId="0" xfId="0" applyFont="1"/>
    <xf numFmtId="0" fontId="6" fillId="0" borderId="0" xfId="846"/>
    <xf numFmtId="0" fontId="91" fillId="0" borderId="0" xfId="846" applyFont="1" applyAlignment="1">
      <alignment horizontal="left"/>
    </xf>
    <xf numFmtId="0" fontId="90" fillId="0" borderId="23" xfId="846" applyFont="1" applyBorder="1" applyAlignment="1">
      <alignment horizontal="center"/>
    </xf>
    <xf numFmtId="0" fontId="92" fillId="0" borderId="0" xfId="534" applyFont="1"/>
    <xf numFmtId="0" fontId="83" fillId="0" borderId="0" xfId="868" applyFont="1" applyFill="1" applyBorder="1" applyAlignment="1">
      <alignment horizontal="left"/>
    </xf>
    <xf numFmtId="0" fontId="92" fillId="29" borderId="23" xfId="846" applyFont="1" applyFill="1" applyBorder="1" applyAlignment="1">
      <alignment horizontal="center" vertical="center"/>
    </xf>
    <xf numFmtId="0" fontId="92" fillId="29" borderId="23" xfId="846" applyFont="1" applyFill="1" applyBorder="1" applyAlignment="1">
      <alignment horizontal="center" vertical="center" wrapText="1"/>
    </xf>
    <xf numFmtId="0" fontId="90" fillId="0" borderId="23" xfId="846" applyFont="1" applyBorder="1" applyAlignment="1">
      <alignment horizontal="center" wrapText="1"/>
    </xf>
    <xf numFmtId="0" fontId="9" fillId="0" borderId="0" xfId="534" applyFont="1" applyAlignment="1">
      <alignment horizontal="center"/>
    </xf>
    <xf numFmtId="0" fontId="9" fillId="0" borderId="0" xfId="534" applyFont="1" applyFill="1" applyAlignment="1">
      <alignment horizontal="center"/>
    </xf>
    <xf numFmtId="0" fontId="9" fillId="0" borderId="0" xfId="1737" applyFont="1" applyFill="1" applyAlignment="1">
      <alignment horizontal="center" vertical="top" wrapText="1"/>
    </xf>
    <xf numFmtId="0" fontId="10" fillId="0" borderId="0" xfId="1737" applyFont="1" applyFill="1" applyAlignment="1">
      <alignment horizontal="center" vertical="top" wrapText="1"/>
    </xf>
    <xf numFmtId="0" fontId="9" fillId="30" borderId="23" xfId="534" applyFont="1" applyFill="1" applyBorder="1" applyAlignment="1">
      <alignment horizontal="center"/>
    </xf>
    <xf numFmtId="0" fontId="10" fillId="30" borderId="23" xfId="534" applyFont="1" applyFill="1" applyBorder="1" applyAlignment="1">
      <alignment horizontal="center"/>
    </xf>
    <xf numFmtId="0" fontId="9" fillId="0" borderId="23" xfId="534" applyFont="1" applyBorder="1" applyAlignment="1">
      <alignment horizontal="center" vertical="center"/>
    </xf>
    <xf numFmtId="0" fontId="9" fillId="0" borderId="23" xfId="534" applyFont="1" applyBorder="1" applyAlignment="1">
      <alignment horizontal="center"/>
    </xf>
    <xf numFmtId="0" fontId="9" fillId="0" borderId="23" xfId="534" applyFont="1" applyFill="1" applyBorder="1" applyAlignment="1">
      <alignment horizontal="center" wrapText="1"/>
    </xf>
    <xf numFmtId="0" fontId="9" fillId="0" borderId="23" xfId="534" applyFont="1" applyFill="1" applyBorder="1" applyAlignment="1">
      <alignment horizontal="center"/>
    </xf>
    <xf numFmtId="0" fontId="97" fillId="0" borderId="23" xfId="534" quotePrefix="1" applyFont="1" applyFill="1" applyBorder="1" applyAlignment="1">
      <alignment horizontal="center" wrapText="1"/>
    </xf>
    <xf numFmtId="0" fontId="9" fillId="0" borderId="23" xfId="534" quotePrefix="1" applyFont="1" applyFill="1" applyBorder="1" applyAlignment="1">
      <alignment horizontal="center" wrapText="1"/>
    </xf>
    <xf numFmtId="0" fontId="9" fillId="0" borderId="23" xfId="534" applyFont="1" applyFill="1" applyBorder="1"/>
    <xf numFmtId="0" fontId="90" fillId="0" borderId="0" xfId="534" applyFont="1" applyBorder="1" applyAlignment="1"/>
    <xf numFmtId="0" fontId="9" fillId="0" borderId="0" xfId="534" applyFont="1" applyBorder="1" applyAlignment="1"/>
    <xf numFmtId="0" fontId="10" fillId="0" borderId="23" xfId="534" applyFont="1" applyBorder="1"/>
    <xf numFmtId="0" fontId="9" fillId="0" borderId="0" xfId="534" applyFont="1"/>
    <xf numFmtId="0" fontId="10" fillId="0" borderId="0" xfId="534" applyFont="1"/>
    <xf numFmtId="0" fontId="96" fillId="0" borderId="23" xfId="534" applyFont="1" applyBorder="1"/>
    <xf numFmtId="0" fontId="92" fillId="0" borderId="23" xfId="534" applyFont="1" applyBorder="1"/>
    <xf numFmtId="9" fontId="9" fillId="0" borderId="23" xfId="534" applyNumberFormat="1" applyFont="1" applyBorder="1"/>
    <xf numFmtId="0" fontId="6" fillId="0" borderId="0" xfId="846"/>
    <xf numFmtId="0" fontId="92" fillId="0" borderId="0" xfId="884" applyFont="1"/>
    <xf numFmtId="0" fontId="90" fillId="0" borderId="0" xfId="884" applyFont="1"/>
    <xf numFmtId="0" fontId="6" fillId="0" borderId="0" xfId="884"/>
    <xf numFmtId="0" fontId="90" fillId="0" borderId="23" xfId="846" applyFont="1" applyBorder="1" applyAlignment="1">
      <alignment horizontal="center"/>
    </xf>
    <xf numFmtId="0" fontId="8" fillId="0" borderId="0" xfId="325" applyBorder="1"/>
    <xf numFmtId="0" fontId="6" fillId="0" borderId="0" xfId="2962"/>
    <xf numFmtId="0" fontId="9" fillId="0" borderId="0" xfId="1737" applyFont="1" applyFill="1" applyAlignment="1">
      <alignment vertical="top" wrapText="1"/>
    </xf>
    <xf numFmtId="0" fontId="9" fillId="0" borderId="0" xfId="1737" applyFont="1" applyFill="1" applyAlignment="1">
      <alignment horizontal="center" vertical="top" wrapText="1"/>
    </xf>
    <xf numFmtId="0" fontId="32" fillId="0" borderId="0" xfId="1737" applyFont="1" applyFill="1" applyBorder="1" applyAlignment="1">
      <alignment vertical="top"/>
    </xf>
    <xf numFmtId="0" fontId="10" fillId="0" borderId="0" xfId="1737" applyFont="1" applyFill="1" applyBorder="1" applyAlignment="1">
      <alignment vertical="top"/>
    </xf>
    <xf numFmtId="0" fontId="6" fillId="0" borderId="0" xfId="846"/>
    <xf numFmtId="0" fontId="9" fillId="0" borderId="0" xfId="846" applyFont="1"/>
    <xf numFmtId="0" fontId="10" fillId="0" borderId="0" xfId="846" applyFont="1" applyAlignment="1">
      <alignment horizontal="center"/>
    </xf>
    <xf numFmtId="0" fontId="10" fillId="27" borderId="0" xfId="846" applyFont="1" applyFill="1" applyAlignment="1">
      <alignment horizontal="center"/>
    </xf>
    <xf numFmtId="0" fontId="10" fillId="0" borderId="0" xfId="1737" applyFont="1" applyFill="1" applyBorder="1" applyAlignment="1">
      <alignment horizontal="right" vertical="top"/>
    </xf>
    <xf numFmtId="0" fontId="9" fillId="0" borderId="0" xfId="846" applyFont="1" applyAlignment="1">
      <alignment horizontal="left"/>
    </xf>
    <xf numFmtId="49" fontId="9" fillId="0" borderId="0" xfId="846" applyNumberFormat="1" applyFont="1"/>
    <xf numFmtId="0" fontId="10" fillId="0" borderId="0" xfId="773" applyFont="1" applyAlignment="1">
      <alignment horizontal="center"/>
    </xf>
    <xf numFmtId="0" fontId="9" fillId="0" borderId="0" xfId="773" applyFont="1" applyAlignment="1">
      <alignment horizontal="left"/>
    </xf>
    <xf numFmtId="49" fontId="9" fillId="0" borderId="0" xfId="773" applyNumberFormat="1" applyFont="1" applyAlignment="1">
      <alignment horizontal="left"/>
    </xf>
    <xf numFmtId="180" fontId="9" fillId="0" borderId="14" xfId="323" applyNumberFormat="1" applyFont="1" applyFill="1" applyBorder="1" applyAlignment="1" applyProtection="1">
      <alignment horizontal="left"/>
      <protection locked="0"/>
    </xf>
    <xf numFmtId="0" fontId="9" fillId="0" borderId="0" xfId="846" applyNumberFormat="1" applyFont="1" applyFill="1" applyBorder="1" applyAlignment="1" applyProtection="1">
      <alignment horizontal="center" vertical="top" wrapText="1"/>
    </xf>
    <xf numFmtId="0" fontId="6" fillId="0" borderId="0" xfId="4190"/>
    <xf numFmtId="0" fontId="9" fillId="0" borderId="0" xfId="1737" applyFont="1"/>
    <xf numFmtId="180" fontId="9" fillId="0" borderId="0" xfId="323" applyNumberFormat="1" applyFont="1" applyFill="1" applyBorder="1" applyAlignment="1" applyProtection="1">
      <alignment horizontal="left"/>
      <protection locked="0"/>
    </xf>
    <xf numFmtId="49" fontId="9" fillId="0" borderId="0" xfId="323" applyNumberFormat="1" applyFont="1" applyFill="1" applyBorder="1" applyAlignment="1" applyProtection="1">
      <alignment horizontal="center"/>
      <protection locked="0"/>
    </xf>
    <xf numFmtId="49" fontId="9" fillId="0" borderId="0" xfId="323" quotePrefix="1" applyNumberFormat="1" applyFont="1" applyFill="1" applyBorder="1" applyAlignment="1" applyProtection="1">
      <alignment horizontal="center"/>
      <protection locked="0"/>
    </xf>
    <xf numFmtId="0" fontId="9" fillId="0" borderId="0" xfId="3271" applyFont="1" applyFill="1" applyAlignment="1">
      <alignment horizontal="center" vertical="top" wrapText="1"/>
    </xf>
    <xf numFmtId="0" fontId="9" fillId="0" borderId="0" xfId="3271" applyFont="1" applyAlignment="1">
      <alignment horizontal="center"/>
    </xf>
    <xf numFmtId="0" fontId="10" fillId="30" borderId="23" xfId="534" applyFont="1" applyFill="1" applyBorder="1" applyAlignment="1">
      <alignment horizontal="center"/>
    </xf>
    <xf numFmtId="0" fontId="9" fillId="0" borderId="23" xfId="534" applyFont="1" applyBorder="1" applyAlignment="1">
      <alignment horizontal="center" vertical="center"/>
    </xf>
    <xf numFmtId="0" fontId="9" fillId="0" borderId="23" xfId="534" applyFont="1" applyBorder="1" applyAlignment="1">
      <alignment horizontal="center"/>
    </xf>
    <xf numFmtId="0" fontId="10" fillId="0" borderId="23" xfId="534" applyFont="1" applyBorder="1" applyAlignment="1">
      <alignment wrapText="1"/>
    </xf>
    <xf numFmtId="0" fontId="10" fillId="0" borderId="23" xfId="534" applyFont="1" applyFill="1" applyBorder="1"/>
    <xf numFmtId="0" fontId="10" fillId="0" borderId="23" xfId="534" applyFont="1" applyFill="1" applyBorder="1" applyAlignment="1">
      <alignment horizontal="left"/>
    </xf>
    <xf numFmtId="0" fontId="10" fillId="0" borderId="23" xfId="534" applyFont="1" applyBorder="1"/>
    <xf numFmtId="0" fontId="92" fillId="35" borderId="23" xfId="0" applyFont="1" applyFill="1" applyBorder="1" applyAlignment="1">
      <alignment horizontal="center"/>
    </xf>
    <xf numFmtId="0" fontId="10" fillId="35" borderId="23" xfId="534" applyFont="1" applyFill="1" applyBorder="1" applyAlignment="1">
      <alignment horizontal="right"/>
    </xf>
    <xf numFmtId="0" fontId="10" fillId="34" borderId="23" xfId="846" applyFont="1" applyFill="1" applyBorder="1" applyAlignment="1">
      <alignment horizontal="center"/>
    </xf>
    <xf numFmtId="0" fontId="10" fillId="35" borderId="23" xfId="0" applyFont="1" applyFill="1" applyBorder="1" applyAlignment="1">
      <alignment horizontal="center"/>
    </xf>
    <xf numFmtId="0" fontId="32" fillId="0" borderId="0" xfId="1737" applyFont="1" applyFill="1" applyBorder="1" applyAlignment="1">
      <alignment vertical="top"/>
    </xf>
    <xf numFmtId="0" fontId="10" fillId="0" borderId="0" xfId="1737" applyFont="1" applyFill="1" applyBorder="1" applyAlignment="1">
      <alignment vertical="top"/>
    </xf>
    <xf numFmtId="0" fontId="84" fillId="0" borderId="0" xfId="846" applyFont="1" applyFill="1" applyBorder="1"/>
    <xf numFmtId="0" fontId="83" fillId="0" borderId="0" xfId="846" applyFont="1" applyFill="1" applyBorder="1"/>
    <xf numFmtId="0" fontId="9" fillId="0" borderId="23" xfId="846" applyFont="1" applyBorder="1"/>
    <xf numFmtId="0" fontId="9" fillId="0" borderId="0" xfId="1737" applyFont="1" applyFill="1" applyAlignment="1">
      <alignment vertical="top"/>
    </xf>
    <xf numFmtId="0" fontId="10" fillId="0" borderId="0" xfId="1737" applyFont="1" applyFill="1" applyBorder="1" applyAlignment="1">
      <alignment horizontal="right" vertical="top" wrapText="1"/>
    </xf>
    <xf numFmtId="0" fontId="81" fillId="0" borderId="0" xfId="846" applyFont="1" applyFill="1" applyBorder="1"/>
    <xf numFmtId="0" fontId="10" fillId="30" borderId="23" xfId="846" applyFont="1" applyFill="1" applyBorder="1" applyAlignment="1">
      <alignment horizontal="center"/>
    </xf>
    <xf numFmtId="0" fontId="9" fillId="0" borderId="23" xfId="846" applyFont="1" applyBorder="1" applyAlignment="1">
      <alignment horizontal="left" vertical="center"/>
    </xf>
    <xf numFmtId="0" fontId="9" fillId="0" borderId="23" xfId="846" applyFont="1" applyBorder="1" applyAlignment="1">
      <alignment horizontal="left" wrapText="1"/>
    </xf>
    <xf numFmtId="0" fontId="9" fillId="0" borderId="23" xfId="846" applyFont="1" applyBorder="1" applyAlignment="1">
      <alignment horizontal="left" vertical="center" wrapText="1"/>
    </xf>
    <xf numFmtId="0" fontId="9" fillId="0" borderId="23" xfId="846" applyFont="1" applyBorder="1" applyAlignment="1">
      <alignment wrapText="1"/>
    </xf>
    <xf numFmtId="0" fontId="10" fillId="32" borderId="23" xfId="846" applyFont="1" applyFill="1" applyBorder="1" applyAlignment="1">
      <alignment horizontal="center"/>
    </xf>
    <xf numFmtId="0" fontId="9" fillId="32" borderId="23" xfId="846" applyFont="1" applyFill="1" applyBorder="1" applyAlignment="1">
      <alignment horizontal="center"/>
    </xf>
    <xf numFmtId="0" fontId="10" fillId="32" borderId="23" xfId="846" applyFont="1" applyFill="1" applyBorder="1" applyAlignment="1">
      <alignment horizontal="center" vertical="center"/>
    </xf>
    <xf numFmtId="0" fontId="10" fillId="33" borderId="23" xfId="534" applyFont="1" applyFill="1" applyBorder="1" applyAlignment="1">
      <alignment horizontal="center"/>
    </xf>
    <xf numFmtId="0" fontId="98" fillId="0" borderId="0" xfId="0" applyFont="1"/>
    <xf numFmtId="0" fontId="90" fillId="0" borderId="23" xfId="0" applyFont="1" applyBorder="1" applyAlignment="1">
      <alignment horizontal="center"/>
    </xf>
    <xf numFmtId="17" fontId="90" fillId="0" borderId="23" xfId="0" applyNumberFormat="1" applyFont="1" applyBorder="1" applyAlignment="1">
      <alignment horizontal="center"/>
    </xf>
    <xf numFmtId="10" fontId="90" fillId="0" borderId="23" xfId="0" applyNumberFormat="1" applyFont="1" applyBorder="1" applyAlignment="1">
      <alignment horizontal="center"/>
    </xf>
    <xf numFmtId="10" fontId="9" fillId="0" borderId="23" xfId="0" applyNumberFormat="1" applyFont="1" applyFill="1" applyBorder="1"/>
    <xf numFmtId="0" fontId="92" fillId="0" borderId="0" xfId="0" applyFont="1" applyAlignment="1">
      <alignment horizontal="center"/>
    </xf>
    <xf numFmtId="10" fontId="92" fillId="0" borderId="13" xfId="0" applyNumberFormat="1" applyFont="1" applyBorder="1" applyAlignment="1">
      <alignment horizontal="center"/>
    </xf>
    <xf numFmtId="0" fontId="10" fillId="0" borderId="23" xfId="0" applyFont="1" applyBorder="1" applyAlignment="1">
      <alignment horizontal="center"/>
    </xf>
    <xf numFmtId="0" fontId="96" fillId="0" borderId="23" xfId="0" applyFont="1" applyBorder="1" applyAlignment="1">
      <alignment horizontal="center"/>
    </xf>
    <xf numFmtId="17" fontId="90" fillId="36" borderId="23" xfId="0" applyNumberFormat="1" applyFont="1" applyFill="1" applyBorder="1" applyAlignment="1">
      <alignment horizontal="center"/>
    </xf>
    <xf numFmtId="0" fontId="0" fillId="36" borderId="0" xfId="0" applyFill="1"/>
    <xf numFmtId="0" fontId="92" fillId="37" borderId="0" xfId="0" applyFont="1" applyFill="1" applyAlignment="1">
      <alignment horizontal="left"/>
    </xf>
    <xf numFmtId="9" fontId="99" fillId="37" borderId="33" xfId="0" applyNumberFormat="1" applyFont="1" applyFill="1" applyBorder="1" applyAlignment="1">
      <alignment horizontal="center" vertical="center" wrapText="1"/>
    </xf>
    <xf numFmtId="0" fontId="90" fillId="0" borderId="0" xfId="0" applyFont="1" applyFill="1" applyAlignment="1">
      <alignment horizontal="left"/>
    </xf>
    <xf numFmtId="9" fontId="100" fillId="38" borderId="33" xfId="0" applyNumberFormat="1" applyFont="1" applyFill="1" applyBorder="1" applyAlignment="1">
      <alignment horizontal="center" vertical="center" wrapText="1"/>
    </xf>
    <xf numFmtId="0" fontId="99" fillId="37" borderId="33" xfId="0" applyFont="1" applyFill="1" applyBorder="1" applyAlignment="1">
      <alignment horizontal="left" vertical="center" wrapText="1"/>
    </xf>
    <xf numFmtId="0" fontId="99" fillId="38" borderId="33" xfId="0" applyFont="1" applyFill="1" applyBorder="1" applyAlignment="1">
      <alignment vertical="center" wrapText="1"/>
    </xf>
    <xf numFmtId="0" fontId="90" fillId="38" borderId="33" xfId="0" applyFont="1" applyFill="1" applyBorder="1" applyAlignment="1">
      <alignment vertical="center" wrapText="1"/>
    </xf>
    <xf numFmtId="0" fontId="100" fillId="0" borderId="0" xfId="0" applyFont="1" applyFill="1" applyBorder="1" applyAlignment="1">
      <alignment horizontal="left" vertical="center" wrapText="1"/>
    </xf>
    <xf numFmtId="0" fontId="99" fillId="0" borderId="33" xfId="0" applyFont="1" applyFill="1" applyBorder="1" applyAlignment="1">
      <alignment vertical="center" wrapText="1"/>
    </xf>
    <xf numFmtId="0" fontId="90" fillId="0" borderId="33" xfId="0" applyFont="1" applyFill="1" applyBorder="1" applyAlignment="1">
      <alignment vertical="center" wrapText="1"/>
    </xf>
    <xf numFmtId="0" fontId="100" fillId="38" borderId="33" xfId="0" applyFont="1" applyFill="1" applyBorder="1" applyAlignment="1">
      <alignment vertical="center" wrapText="1"/>
    </xf>
    <xf numFmtId="0" fontId="90" fillId="0" borderId="0" xfId="0" applyFont="1" applyAlignment="1">
      <alignment wrapText="1"/>
    </xf>
    <xf numFmtId="3" fontId="100" fillId="38" borderId="33" xfId="0" applyNumberFormat="1" applyFont="1" applyFill="1" applyBorder="1" applyAlignment="1">
      <alignment vertical="center" wrapText="1"/>
    </xf>
    <xf numFmtId="0" fontId="99" fillId="37" borderId="33" xfId="0" applyFont="1" applyFill="1" applyBorder="1" applyAlignment="1">
      <alignment vertical="center" wrapText="1"/>
    </xf>
    <xf numFmtId="0" fontId="100" fillId="0" borderId="33" xfId="0" applyFont="1" applyFill="1" applyBorder="1" applyAlignment="1">
      <alignment vertical="center" wrapText="1"/>
    </xf>
    <xf numFmtId="9" fontId="100" fillId="0" borderId="33" xfId="0" applyNumberFormat="1" applyFont="1" applyFill="1" applyBorder="1" applyAlignment="1">
      <alignment horizontal="center" vertical="center" wrapText="1"/>
    </xf>
    <xf numFmtId="0" fontId="99" fillId="39" borderId="33" xfId="0" applyFont="1" applyFill="1" applyBorder="1" applyAlignment="1">
      <alignment vertical="center" wrapText="1"/>
    </xf>
    <xf numFmtId="9" fontId="100" fillId="39" borderId="33" xfId="0" applyNumberFormat="1" applyFont="1" applyFill="1" applyBorder="1" applyAlignment="1">
      <alignment horizontal="center" vertical="center" wrapText="1"/>
    </xf>
    <xf numFmtId="0" fontId="101" fillId="0" borderId="33" xfId="0" applyFont="1" applyFill="1" applyBorder="1" applyAlignment="1">
      <alignment vertical="center" wrapText="1"/>
    </xf>
    <xf numFmtId="0" fontId="101" fillId="38" borderId="33" xfId="0" applyFont="1" applyFill="1" applyBorder="1" applyAlignment="1">
      <alignment vertical="center" wrapText="1"/>
    </xf>
    <xf numFmtId="0" fontId="92" fillId="0" borderId="0" xfId="0" applyFont="1" applyFill="1" applyAlignment="1">
      <alignment wrapText="1"/>
    </xf>
    <xf numFmtId="0" fontId="90" fillId="40" borderId="0" xfId="0" applyFont="1" applyFill="1" applyBorder="1" applyAlignment="1">
      <alignment horizontal="left" vertical="top" wrapText="1"/>
    </xf>
    <xf numFmtId="0" fontId="90" fillId="0" borderId="0" xfId="0" applyFont="1" applyBorder="1" applyAlignment="1">
      <alignment horizontal="center"/>
    </xf>
    <xf numFmtId="0" fontId="101" fillId="0" borderId="44" xfId="0" applyFont="1" applyFill="1" applyBorder="1" applyAlignment="1">
      <alignment vertical="center" wrapText="1"/>
    </xf>
    <xf numFmtId="0" fontId="92" fillId="39" borderId="45" xfId="0" applyFont="1" applyFill="1" applyBorder="1" applyAlignment="1">
      <alignment horizontal="center"/>
    </xf>
    <xf numFmtId="0" fontId="90" fillId="0" borderId="45" xfId="0" applyFont="1" applyBorder="1" applyAlignment="1">
      <alignment vertical="top" wrapText="1"/>
    </xf>
    <xf numFmtId="0" fontId="9" fillId="0" borderId="45" xfId="0" applyFont="1" applyBorder="1" applyAlignment="1">
      <alignment vertical="top" wrapText="1"/>
    </xf>
    <xf numFmtId="0" fontId="9" fillId="0" borderId="0" xfId="0" applyFont="1" applyFill="1" applyBorder="1"/>
    <xf numFmtId="194" fontId="9" fillId="0" borderId="0" xfId="0" applyNumberFormat="1" applyFont="1"/>
    <xf numFmtId="0" fontId="9" fillId="0" borderId="0" xfId="0" applyFont="1" applyFill="1" applyBorder="1" applyAlignment="1">
      <alignment horizontal="left"/>
    </xf>
    <xf numFmtId="0" fontId="0" fillId="0" borderId="0" xfId="0" applyFill="1"/>
    <xf numFmtId="193" fontId="9" fillId="0" borderId="0" xfId="0" applyNumberFormat="1" applyFont="1" applyFill="1" applyBorder="1" applyAlignment="1">
      <alignment horizontal="left"/>
    </xf>
    <xf numFmtId="2" fontId="9" fillId="0" borderId="0" xfId="0" applyNumberFormat="1" applyFont="1" applyFill="1" applyBorder="1" applyAlignment="1">
      <alignment horizontal="left"/>
    </xf>
    <xf numFmtId="0" fontId="9" fillId="0" borderId="0" xfId="0" applyNumberFormat="1" applyFont="1" applyAlignment="1">
      <alignment horizontal="center" vertical="center"/>
    </xf>
    <xf numFmtId="0" fontId="9" fillId="0" borderId="0" xfId="325" applyFont="1" applyAlignment="1">
      <alignment horizontal="center" vertical="center"/>
    </xf>
    <xf numFmtId="0" fontId="9" fillId="0" borderId="0" xfId="325" applyFont="1" applyFill="1" applyAlignment="1">
      <alignment horizontal="center" vertical="center" wrapText="1"/>
    </xf>
    <xf numFmtId="0" fontId="10" fillId="0" borderId="0" xfId="534" applyFont="1" applyFill="1" applyBorder="1" applyAlignment="1">
      <alignment horizontal="center" vertical="center"/>
    </xf>
    <xf numFmtId="0" fontId="10" fillId="36" borderId="0" xfId="534" applyFont="1" applyFill="1" applyBorder="1" applyAlignment="1">
      <alignment horizontal="center" vertical="center"/>
    </xf>
    <xf numFmtId="0" fontId="10" fillId="41" borderId="0" xfId="534" applyFont="1" applyFill="1" applyBorder="1" applyAlignment="1">
      <alignment horizontal="center" vertical="center"/>
    </xf>
    <xf numFmtId="194" fontId="9" fillId="0" borderId="0" xfId="325" applyNumberFormat="1" applyFont="1" applyFill="1" applyAlignment="1">
      <alignment horizontal="center" vertical="center" wrapText="1"/>
    </xf>
    <xf numFmtId="194" fontId="9" fillId="0" borderId="0" xfId="323" applyNumberFormat="1" applyFont="1" applyFill="1" applyBorder="1" applyAlignment="1" applyProtection="1">
      <alignment horizontal="center" vertical="center"/>
      <protection locked="0"/>
    </xf>
    <xf numFmtId="194" fontId="9" fillId="0" borderId="0" xfId="323" quotePrefix="1" applyNumberFormat="1" applyFont="1" applyFill="1" applyBorder="1" applyAlignment="1" applyProtection="1">
      <alignment horizontal="center" vertical="center"/>
      <protection locked="0"/>
    </xf>
    <xf numFmtId="194" fontId="9" fillId="0" borderId="0" xfId="325" applyNumberFormat="1" applyFont="1" applyAlignment="1">
      <alignment horizontal="center" vertical="center"/>
    </xf>
    <xf numFmtId="0" fontId="8" fillId="0" borderId="0" xfId="325" applyAlignment="1">
      <alignment horizontal="center" vertical="center"/>
    </xf>
    <xf numFmtId="0" fontId="0" fillId="0" borderId="0" xfId="0" applyAlignment="1">
      <alignment horizontal="center" vertical="center"/>
    </xf>
    <xf numFmtId="49" fontId="9" fillId="0" borderId="0" xfId="323" applyNumberFormat="1" applyFont="1" applyFill="1" applyBorder="1" applyAlignment="1" applyProtection="1">
      <alignment horizontal="center" vertical="center"/>
      <protection locked="0"/>
    </xf>
    <xf numFmtId="49" fontId="9" fillId="0" borderId="0" xfId="323" quotePrefix="1" applyNumberFormat="1" applyFont="1" applyFill="1" applyBorder="1" applyAlignment="1" applyProtection="1">
      <alignment horizontal="center" vertical="center"/>
      <protection locked="0"/>
    </xf>
    <xf numFmtId="49" fontId="9" fillId="0" borderId="0" xfId="325" applyNumberFormat="1" applyFont="1" applyFill="1" applyAlignment="1">
      <alignment horizontal="center" vertical="top" wrapText="1"/>
    </xf>
    <xf numFmtId="49" fontId="9" fillId="0" borderId="0" xfId="325" applyNumberFormat="1" applyFont="1" applyAlignment="1">
      <alignment horizontal="center"/>
    </xf>
    <xf numFmtId="194" fontId="9" fillId="0" borderId="0" xfId="325" applyNumberFormat="1" applyFont="1" applyFill="1" applyAlignment="1">
      <alignment horizontal="center" vertical="top" wrapText="1"/>
    </xf>
    <xf numFmtId="49" fontId="9" fillId="0" borderId="0" xfId="325" applyNumberFormat="1" applyFont="1" applyFill="1" applyAlignment="1">
      <alignment horizontal="center" vertical="center" wrapText="1"/>
    </xf>
    <xf numFmtId="49" fontId="9" fillId="0" borderId="0" xfId="325" applyNumberFormat="1" applyFont="1" applyAlignment="1">
      <alignment horizontal="center" vertical="center"/>
    </xf>
    <xf numFmtId="0" fontId="9" fillId="0" borderId="0" xfId="325" quotePrefix="1" applyFont="1" applyFill="1" applyAlignment="1">
      <alignment horizontal="center" vertical="center" wrapText="1"/>
    </xf>
    <xf numFmtId="49" fontId="9" fillId="0" borderId="14" xfId="323" applyNumberFormat="1" applyFont="1" applyFill="1" applyBorder="1" applyAlignment="1" applyProtection="1">
      <alignment horizontal="left" vertical="center"/>
      <protection locked="0"/>
    </xf>
    <xf numFmtId="0" fontId="9" fillId="0" borderId="14" xfId="0" applyNumberFormat="1" applyFont="1" applyFill="1" applyBorder="1" applyAlignment="1" applyProtection="1">
      <alignment horizontal="left" vertical="center"/>
      <protection locked="0"/>
    </xf>
    <xf numFmtId="181" fontId="9" fillId="0" borderId="14" xfId="0" applyNumberFormat="1" applyFont="1" applyFill="1" applyBorder="1" applyAlignment="1" applyProtection="1">
      <alignment horizontal="left" vertical="center"/>
      <protection locked="0"/>
    </xf>
    <xf numFmtId="0" fontId="9" fillId="0" borderId="0" xfId="3271" quotePrefix="1" applyFont="1" applyFill="1" applyAlignment="1">
      <alignment horizontal="center" vertical="center" wrapText="1"/>
    </xf>
    <xf numFmtId="0" fontId="9" fillId="0" borderId="14" xfId="846" applyNumberFormat="1" applyFont="1" applyFill="1" applyBorder="1" applyAlignment="1" applyProtection="1">
      <alignment horizontal="left" vertical="center"/>
      <protection locked="0"/>
    </xf>
    <xf numFmtId="49" fontId="9" fillId="0" borderId="14" xfId="0" applyNumberFormat="1" applyFont="1" applyFill="1" applyBorder="1" applyAlignment="1" applyProtection="1">
      <alignment horizontal="left" vertical="center"/>
      <protection locked="0"/>
    </xf>
    <xf numFmtId="2" fontId="9" fillId="0" borderId="14" xfId="0" applyNumberFormat="1" applyFont="1" applyFill="1" applyBorder="1" applyAlignment="1" applyProtection="1">
      <alignment horizontal="left" vertical="center"/>
      <protection locked="0"/>
    </xf>
    <xf numFmtId="49" fontId="9" fillId="0" borderId="0" xfId="325" applyNumberFormat="1" applyFont="1" applyAlignment="1">
      <alignment horizontal="center" vertical="center" wrapText="1"/>
    </xf>
    <xf numFmtId="4" fontId="9" fillId="0" borderId="0" xfId="0" applyNumberFormat="1" applyFont="1" applyBorder="1"/>
    <xf numFmtId="0" fontId="13" fillId="27" borderId="20" xfId="325" applyFont="1" applyFill="1" applyBorder="1" applyAlignment="1">
      <alignment horizontal="center" vertical="top" wrapText="1"/>
    </xf>
    <xf numFmtId="0" fontId="13" fillId="27" borderId="21" xfId="325" applyFont="1" applyFill="1" applyBorder="1" applyAlignment="1">
      <alignment horizontal="center" vertical="top" wrapText="1"/>
    </xf>
    <xf numFmtId="3" fontId="76" fillId="0" borderId="15" xfId="0" applyNumberFormat="1" applyFont="1" applyBorder="1" applyAlignment="1">
      <alignment horizontal="center"/>
    </xf>
    <xf numFmtId="3" fontId="9" fillId="0" borderId="15" xfId="0" applyNumberFormat="1" applyFont="1" applyBorder="1" applyAlignment="1">
      <alignment horizontal="center"/>
    </xf>
    <xf numFmtId="14" fontId="9" fillId="0" borderId="0" xfId="325" applyNumberFormat="1" applyFont="1" applyFill="1" applyAlignment="1">
      <alignment vertical="top" wrapText="1"/>
    </xf>
    <xf numFmtId="3" fontId="9" fillId="0" borderId="0" xfId="0" applyNumberFormat="1" applyFont="1" applyFill="1" applyBorder="1" applyAlignment="1" applyProtection="1">
      <alignment horizontal="center"/>
      <protection locked="0"/>
    </xf>
    <xf numFmtId="3" fontId="9" fillId="0" borderId="0" xfId="0" quotePrefix="1" applyNumberFormat="1" applyFont="1" applyFill="1" applyBorder="1" applyAlignment="1" applyProtection="1">
      <alignment horizontal="center"/>
      <protection locked="0"/>
    </xf>
    <xf numFmtId="3" fontId="9" fillId="0" borderId="0" xfId="325" applyNumberFormat="1" applyFont="1" applyAlignment="1">
      <alignment horizontal="center"/>
    </xf>
    <xf numFmtId="3" fontId="9" fillId="0" borderId="15" xfId="0" applyNumberFormat="1" applyFont="1" applyBorder="1" applyAlignment="1"/>
    <xf numFmtId="3" fontId="9" fillId="0" borderId="0" xfId="0" applyNumberFormat="1" applyFont="1" applyBorder="1" applyAlignment="1"/>
    <xf numFmtId="3" fontId="9" fillId="0" borderId="17" xfId="0" applyNumberFormat="1" applyFont="1" applyBorder="1" applyAlignment="1"/>
    <xf numFmtId="3" fontId="9" fillId="0" borderId="13" xfId="0" applyNumberFormat="1" applyFont="1" applyBorder="1" applyAlignment="1"/>
    <xf numFmtId="4" fontId="9" fillId="0" borderId="0" xfId="0" applyNumberFormat="1" applyFont="1" applyBorder="1" applyAlignment="1">
      <alignment horizontal="right"/>
    </xf>
    <xf numFmtId="3" fontId="9" fillId="0" borderId="15" xfId="0" applyNumberFormat="1" applyFont="1" applyBorder="1" applyAlignment="1">
      <alignment horizontal="right" vertical="center"/>
    </xf>
    <xf numFmtId="3" fontId="9" fillId="0" borderId="0" xfId="0" applyNumberFormat="1" applyFont="1" applyBorder="1" applyAlignment="1">
      <alignment horizontal="right" vertical="center"/>
    </xf>
    <xf numFmtId="4" fontId="9" fillId="0" borderId="0" xfId="0" applyNumberFormat="1" applyFont="1" applyBorder="1" applyAlignment="1">
      <alignment horizontal="right" vertical="center"/>
    </xf>
    <xf numFmtId="0" fontId="13" fillId="27" borderId="0" xfId="325" applyFont="1" applyFill="1" applyBorder="1" applyAlignment="1">
      <alignment horizontal="center" vertical="top" wrapText="1"/>
    </xf>
    <xf numFmtId="3" fontId="9" fillId="0" borderId="0" xfId="0" applyNumberFormat="1" applyFont="1" applyBorder="1"/>
    <xf numFmtId="3" fontId="10" fillId="0" borderId="0" xfId="0" applyNumberFormat="1" applyFont="1" applyBorder="1" applyAlignment="1"/>
    <xf numFmtId="0" fontId="9" fillId="25" borderId="24" xfId="0" applyFont="1" applyFill="1" applyBorder="1"/>
    <xf numFmtId="4" fontId="9" fillId="25" borderId="24" xfId="0" applyNumberFormat="1" applyFont="1" applyFill="1" applyBorder="1"/>
    <xf numFmtId="3" fontId="10" fillId="0" borderId="24" xfId="0" applyNumberFormat="1" applyFont="1" applyBorder="1" applyAlignment="1"/>
    <xf numFmtId="3" fontId="10" fillId="0" borderId="24" xfId="0" applyNumberFormat="1" applyFont="1" applyBorder="1"/>
    <xf numFmtId="3" fontId="10" fillId="0" borderId="14" xfId="0" applyNumberFormat="1" applyFont="1" applyBorder="1"/>
    <xf numFmtId="3" fontId="10" fillId="0" borderId="0" xfId="0" applyNumberFormat="1" applyFont="1" applyBorder="1"/>
    <xf numFmtId="4" fontId="10" fillId="0" borderId="0" xfId="0" applyNumberFormat="1" applyFont="1" applyBorder="1"/>
    <xf numFmtId="0" fontId="10" fillId="42" borderId="0" xfId="325" applyFont="1" applyFill="1" applyBorder="1" applyAlignment="1">
      <alignment horizontal="center" vertical="center" wrapText="1"/>
    </xf>
    <xf numFmtId="0" fontId="9" fillId="25" borderId="20" xfId="325" applyFont="1" applyFill="1" applyBorder="1" applyAlignment="1">
      <alignment vertical="top" wrapText="1"/>
    </xf>
    <xf numFmtId="0" fontId="9" fillId="25" borderId="21" xfId="325" applyFont="1" applyFill="1" applyBorder="1" applyAlignment="1">
      <alignment vertical="top" wrapText="1"/>
    </xf>
    <xf numFmtId="0" fontId="9" fillId="25" borderId="22" xfId="325" applyFont="1" applyFill="1" applyBorder="1" applyAlignment="1">
      <alignment vertical="top" wrapText="1"/>
    </xf>
    <xf numFmtId="0" fontId="9" fillId="0" borderId="0" xfId="0" applyNumberFormat="1" applyFont="1" applyBorder="1"/>
    <xf numFmtId="194" fontId="9" fillId="0" borderId="0" xfId="0" applyNumberFormat="1" applyFont="1" applyBorder="1"/>
    <xf numFmtId="3" fontId="10" fillId="0" borderId="14" xfId="0" applyNumberFormat="1" applyFont="1" applyBorder="1" applyAlignment="1"/>
    <xf numFmtId="0" fontId="9" fillId="36" borderId="15" xfId="322" quotePrefix="1" applyFont="1" applyFill="1" applyBorder="1" applyAlignment="1">
      <alignment horizontal="center"/>
    </xf>
    <xf numFmtId="0" fontId="9" fillId="36" borderId="0" xfId="322" quotePrefix="1" applyFont="1" applyFill="1" applyBorder="1"/>
    <xf numFmtId="0" fontId="9" fillId="36" borderId="0" xfId="0" applyFont="1" applyFill="1" applyBorder="1"/>
    <xf numFmtId="1" fontId="9" fillId="36" borderId="0" xfId="0" applyNumberFormat="1" applyFont="1" applyFill="1" applyBorder="1" applyAlignment="1"/>
    <xf numFmtId="3" fontId="9" fillId="36" borderId="0" xfId="0" applyNumberFormat="1" applyFont="1" applyFill="1" applyBorder="1" applyAlignment="1"/>
    <xf numFmtId="0" fontId="9" fillId="36" borderId="14" xfId="0" applyFont="1" applyFill="1" applyBorder="1"/>
    <xf numFmtId="3" fontId="9" fillId="25" borderId="0" xfId="0" applyNumberFormat="1" applyFont="1" applyFill="1" applyBorder="1" applyAlignment="1"/>
    <xf numFmtId="3" fontId="13" fillId="0" borderId="0" xfId="0" applyNumberFormat="1" applyFont="1" applyBorder="1" applyAlignment="1">
      <alignment horizontal="center"/>
    </xf>
    <xf numFmtId="3" fontId="9" fillId="0" borderId="0" xfId="0" applyNumberFormat="1" applyFont="1" applyFill="1" applyBorder="1" applyAlignment="1">
      <alignment horizontal="left"/>
    </xf>
    <xf numFmtId="3" fontId="9" fillId="0" borderId="34" xfId="0" applyNumberFormat="1" applyFont="1" applyBorder="1" applyAlignment="1"/>
    <xf numFmtId="3" fontId="9" fillId="0" borderId="35" xfId="0" applyNumberFormat="1" applyFont="1" applyBorder="1" applyAlignment="1"/>
    <xf numFmtId="3" fontId="10" fillId="0" borderId="0" xfId="325" applyNumberFormat="1" applyFont="1" applyFill="1" applyBorder="1" applyAlignment="1">
      <alignment vertical="center" wrapText="1"/>
    </xf>
    <xf numFmtId="3" fontId="9" fillId="0" borderId="0" xfId="0" applyNumberFormat="1" applyFont="1" applyFill="1" applyBorder="1" applyAlignment="1"/>
    <xf numFmtId="3" fontId="9" fillId="25" borderId="15" xfId="0" applyNumberFormat="1" applyFont="1" applyFill="1" applyBorder="1" applyAlignment="1"/>
    <xf numFmtId="3" fontId="9" fillId="25" borderId="0" xfId="0" applyNumberFormat="1" applyFont="1" applyFill="1" applyBorder="1"/>
    <xf numFmtId="3" fontId="9" fillId="0" borderId="18" xfId="0" applyNumberFormat="1" applyFont="1" applyBorder="1" applyAlignment="1"/>
    <xf numFmtId="3" fontId="9" fillId="0" borderId="16" xfId="0" applyNumberFormat="1" applyFont="1" applyBorder="1" applyAlignment="1"/>
    <xf numFmtId="3" fontId="9" fillId="0" borderId="16" xfId="0" applyNumberFormat="1" applyFont="1" applyBorder="1"/>
    <xf numFmtId="3" fontId="9" fillId="25" borderId="15" xfId="0" applyNumberFormat="1" applyFont="1" applyFill="1" applyBorder="1" applyAlignment="1">
      <alignment horizontal="center"/>
    </xf>
    <xf numFmtId="0" fontId="19" fillId="0" borderId="0" xfId="325" applyFont="1" applyFill="1" applyAlignment="1">
      <alignment horizontal="center" vertical="top"/>
    </xf>
    <xf numFmtId="49" fontId="9" fillId="0" borderId="0" xfId="325" applyNumberFormat="1" applyFont="1" applyFill="1" applyAlignment="1">
      <alignment horizontal="center"/>
    </xf>
    <xf numFmtId="10" fontId="9" fillId="0" borderId="0" xfId="325" applyNumberFormat="1" applyFont="1" applyFill="1" applyAlignment="1">
      <alignment horizontal="center" vertical="top" wrapText="1"/>
    </xf>
    <xf numFmtId="10" fontId="9" fillId="0" borderId="0" xfId="325" applyNumberFormat="1" applyFont="1" applyFill="1" applyAlignment="1">
      <alignment horizontal="center"/>
    </xf>
    <xf numFmtId="3" fontId="9" fillId="0" borderId="0" xfId="0" applyNumberFormat="1" applyFont="1" applyBorder="1" applyAlignment="1">
      <alignment horizontal="center" vertical="center"/>
    </xf>
    <xf numFmtId="3" fontId="10" fillId="0" borderId="0" xfId="0" applyNumberFormat="1" applyFont="1" applyBorder="1" applyAlignment="1">
      <alignment vertical="center"/>
    </xf>
    <xf numFmtId="4" fontId="9" fillId="0" borderId="14" xfId="0" applyNumberFormat="1" applyFont="1" applyBorder="1"/>
    <xf numFmtId="4" fontId="9" fillId="25" borderId="14" xfId="0" applyNumberFormat="1" applyFont="1" applyFill="1" applyBorder="1"/>
    <xf numFmtId="3" fontId="9" fillId="25" borderId="14" xfId="0" applyNumberFormat="1" applyFont="1" applyFill="1" applyBorder="1"/>
    <xf numFmtId="194" fontId="9" fillId="0" borderId="15" xfId="0" applyNumberFormat="1" applyFont="1" applyBorder="1" applyAlignment="1">
      <alignment horizontal="right" vertical="center"/>
    </xf>
    <xf numFmtId="194" fontId="9" fillId="0" borderId="0" xfId="0" applyNumberFormat="1" applyFont="1" applyBorder="1" applyAlignment="1">
      <alignment horizontal="right" vertical="center"/>
    </xf>
    <xf numFmtId="194" fontId="9" fillId="0" borderId="14" xfId="0" applyNumberFormat="1" applyFont="1" applyBorder="1" applyAlignment="1">
      <alignment horizontal="right" vertical="center"/>
    </xf>
    <xf numFmtId="49" fontId="9" fillId="0" borderId="15" xfId="0" applyNumberFormat="1" applyFont="1" applyBorder="1" applyAlignment="1">
      <alignment horizontal="right" vertical="center"/>
    </xf>
    <xf numFmtId="49" fontId="9" fillId="0" borderId="0" xfId="0" applyNumberFormat="1" applyFont="1" applyBorder="1" applyAlignment="1">
      <alignment horizontal="right" vertical="center"/>
    </xf>
    <xf numFmtId="49" fontId="9" fillId="0" borderId="14" xfId="0" applyNumberFormat="1" applyFont="1" applyBorder="1" applyAlignment="1">
      <alignment horizontal="right" vertical="center"/>
    </xf>
    <xf numFmtId="0" fontId="9" fillId="0" borderId="15" xfId="0" applyNumberFormat="1" applyFont="1" applyBorder="1" applyAlignment="1">
      <alignment horizontal="right" vertical="center"/>
    </xf>
    <xf numFmtId="0" fontId="9" fillId="0" borderId="0" xfId="0" applyNumberFormat="1" applyFont="1" applyBorder="1" applyAlignment="1">
      <alignment horizontal="right" vertical="center"/>
    </xf>
    <xf numFmtId="0" fontId="9" fillId="0" borderId="14" xfId="0" applyNumberFormat="1" applyFont="1" applyBorder="1" applyAlignment="1">
      <alignment horizontal="right" vertical="center"/>
    </xf>
    <xf numFmtId="3" fontId="9" fillId="0" borderId="14" xfId="0" applyNumberFormat="1" applyFont="1" applyBorder="1" applyAlignment="1">
      <alignment horizontal="right" vertical="center"/>
    </xf>
    <xf numFmtId="4" fontId="9" fillId="0" borderId="15" xfId="0" applyNumberFormat="1" applyFont="1" applyBorder="1" applyAlignment="1">
      <alignment horizontal="right" vertical="center"/>
    </xf>
    <xf numFmtId="4" fontId="9" fillId="0" borderId="14" xfId="0" applyNumberFormat="1" applyFont="1" applyBorder="1" applyAlignment="1">
      <alignment horizontal="right" vertical="center"/>
    </xf>
    <xf numFmtId="4" fontId="9" fillId="0" borderId="15" xfId="0" applyNumberFormat="1" applyFont="1" applyBorder="1" applyAlignment="1">
      <alignment horizontal="right"/>
    </xf>
    <xf numFmtId="4" fontId="9" fillId="0" borderId="14" xfId="0" applyNumberFormat="1" applyFont="1" applyBorder="1" applyAlignment="1">
      <alignment horizontal="right"/>
    </xf>
    <xf numFmtId="4" fontId="9" fillId="0" borderId="14" xfId="0" applyNumberFormat="1" applyFont="1" applyBorder="1" applyAlignment="1">
      <alignment horizontal="center"/>
    </xf>
    <xf numFmtId="3" fontId="9" fillId="0" borderId="14" xfId="0" applyNumberFormat="1" applyFont="1" applyBorder="1" applyAlignment="1">
      <alignment horizontal="center"/>
    </xf>
    <xf numFmtId="3" fontId="9" fillId="0" borderId="14" xfId="0" applyNumberFormat="1" applyFont="1" applyBorder="1" applyAlignment="1"/>
    <xf numFmtId="3" fontId="9" fillId="0" borderId="14" xfId="0" applyNumberFormat="1" applyFont="1" applyBorder="1"/>
    <xf numFmtId="0" fontId="9" fillId="0" borderId="15" xfId="0" applyFont="1" applyBorder="1"/>
    <xf numFmtId="3" fontId="9" fillId="0" borderId="19" xfId="0" applyNumberFormat="1" applyFont="1" applyBorder="1"/>
    <xf numFmtId="3" fontId="9" fillId="0" borderId="46" xfId="0" applyNumberFormat="1" applyFont="1" applyBorder="1" applyAlignment="1"/>
    <xf numFmtId="3" fontId="9" fillId="25" borderId="0" xfId="0" applyNumberFormat="1" applyFont="1" applyFill="1" applyBorder="1" applyAlignment="1">
      <alignment horizontal="center"/>
    </xf>
    <xf numFmtId="3" fontId="9" fillId="25" borderId="0" xfId="0" applyNumberFormat="1" applyFont="1" applyFill="1" applyBorder="1" applyAlignment="1">
      <alignment wrapText="1"/>
    </xf>
    <xf numFmtId="0" fontId="9" fillId="0" borderId="0" xfId="0" applyFont="1" applyBorder="1" applyAlignment="1">
      <alignment horizontal="center"/>
    </xf>
    <xf numFmtId="0" fontId="9" fillId="0" borderId="30" xfId="325" applyFont="1" applyFill="1" applyBorder="1" applyAlignment="1">
      <alignment vertical="top" wrapText="1"/>
    </xf>
    <xf numFmtId="0" fontId="9" fillId="0" borderId="24" xfId="325" applyFont="1" applyFill="1" applyBorder="1" applyAlignment="1">
      <alignment vertical="top" wrapText="1"/>
    </xf>
    <xf numFmtId="0" fontId="25" fillId="0" borderId="24" xfId="0" applyFont="1" applyFill="1" applyBorder="1"/>
    <xf numFmtId="0" fontId="10" fillId="0" borderId="24" xfId="322" applyFont="1" applyBorder="1"/>
    <xf numFmtId="0" fontId="14" fillId="0" borderId="24" xfId="0" applyFont="1" applyFill="1" applyBorder="1"/>
    <xf numFmtId="0" fontId="23" fillId="0" borderId="24" xfId="0" applyFont="1" applyFill="1" applyBorder="1"/>
    <xf numFmtId="0" fontId="10" fillId="0" borderId="24" xfId="322" applyFont="1" applyBorder="1" applyAlignment="1">
      <alignment horizontal="left"/>
    </xf>
    <xf numFmtId="0" fontId="78" fillId="0" borderId="24" xfId="322" applyFont="1" applyBorder="1"/>
    <xf numFmtId="0" fontId="24" fillId="0" borderId="24" xfId="0" applyFont="1" applyBorder="1" applyAlignment="1">
      <alignment horizontal="center"/>
    </xf>
    <xf numFmtId="0" fontId="9" fillId="0" borderId="24" xfId="0" applyFont="1" applyBorder="1"/>
    <xf numFmtId="0" fontId="77" fillId="0" borderId="24" xfId="0" applyFont="1" applyFill="1" applyBorder="1"/>
    <xf numFmtId="0" fontId="24" fillId="0" borderId="24" xfId="322" applyFont="1" applyBorder="1" applyAlignment="1">
      <alignment horizontal="center"/>
    </xf>
    <xf numFmtId="0" fontId="9" fillId="0" borderId="24" xfId="322" applyFont="1" applyBorder="1"/>
    <xf numFmtId="0" fontId="15" fillId="0" borderId="24" xfId="0" applyFont="1" applyBorder="1" applyAlignment="1">
      <alignment horizontal="center"/>
    </xf>
    <xf numFmtId="0" fontId="10" fillId="0" borderId="24" xfId="322" applyFont="1" applyFill="1" applyBorder="1" applyAlignment="1">
      <alignment horizontal="left"/>
    </xf>
    <xf numFmtId="0" fontId="10" fillId="0" borderId="15" xfId="0" applyFont="1" applyBorder="1"/>
    <xf numFmtId="0" fontId="13" fillId="42" borderId="21" xfId="325" applyFont="1" applyFill="1" applyBorder="1" applyAlignment="1">
      <alignment horizontal="center" vertical="top" wrapText="1"/>
    </xf>
    <xf numFmtId="0" fontId="13" fillId="42" borderId="0" xfId="325" applyFont="1" applyFill="1" applyBorder="1" applyAlignment="1">
      <alignment horizontal="center" vertical="top" wrapText="1"/>
    </xf>
    <xf numFmtId="0" fontId="9" fillId="43" borderId="0" xfId="0" applyFont="1" applyFill="1" applyBorder="1"/>
    <xf numFmtId="194" fontId="9" fillId="42" borderId="0" xfId="0" applyNumberFormat="1" applyFont="1" applyFill="1" applyBorder="1" applyAlignment="1">
      <alignment horizontal="right" vertical="center"/>
    </xf>
    <xf numFmtId="49" fontId="9" fillId="42" borderId="0" xfId="0" applyNumberFormat="1" applyFont="1" applyFill="1" applyBorder="1" applyAlignment="1">
      <alignment horizontal="right" vertical="center"/>
    </xf>
    <xf numFmtId="0" fontId="9" fillId="42" borderId="0" xfId="0" applyNumberFormat="1" applyFont="1" applyFill="1" applyBorder="1" applyAlignment="1">
      <alignment horizontal="right" vertical="center"/>
    </xf>
    <xf numFmtId="3" fontId="9" fillId="42" borderId="0" xfId="0" applyNumberFormat="1" applyFont="1" applyFill="1" applyBorder="1" applyAlignment="1">
      <alignment horizontal="right" vertical="center"/>
    </xf>
    <xf numFmtId="4" fontId="9" fillId="42" borderId="0" xfId="0" applyNumberFormat="1" applyFont="1" applyFill="1" applyBorder="1" applyAlignment="1">
      <alignment horizontal="right" vertical="center"/>
    </xf>
    <xf numFmtId="4" fontId="9" fillId="42" borderId="0" xfId="0" applyNumberFormat="1" applyFont="1" applyFill="1" applyBorder="1" applyAlignment="1">
      <alignment horizontal="right"/>
    </xf>
    <xf numFmtId="4" fontId="9" fillId="42" borderId="0" xfId="0" applyNumberFormat="1" applyFont="1" applyFill="1" applyBorder="1" applyAlignment="1">
      <alignment horizontal="center"/>
    </xf>
    <xf numFmtId="3" fontId="9" fillId="42" borderId="0" xfId="0" applyNumberFormat="1" applyFont="1" applyFill="1" applyBorder="1" applyAlignment="1">
      <alignment horizontal="center"/>
    </xf>
    <xf numFmtId="4" fontId="9" fillId="42" borderId="0" xfId="0" applyNumberFormat="1" applyFont="1" applyFill="1" applyBorder="1"/>
    <xf numFmtId="4" fontId="9" fillId="43" borderId="0" xfId="0" applyNumberFormat="1" applyFont="1" applyFill="1" applyBorder="1"/>
    <xf numFmtId="3" fontId="9" fillId="42" borderId="0" xfId="0" applyNumberFormat="1" applyFont="1" applyFill="1" applyBorder="1" applyAlignment="1"/>
    <xf numFmtId="3" fontId="9" fillId="42" borderId="0" xfId="0" applyNumberFormat="1" applyFont="1" applyFill="1" applyBorder="1"/>
    <xf numFmtId="3" fontId="9" fillId="43" borderId="0" xfId="0" applyNumberFormat="1" applyFont="1" applyFill="1" applyBorder="1"/>
    <xf numFmtId="3" fontId="9" fillId="42" borderId="13" xfId="0" applyNumberFormat="1" applyFont="1" applyFill="1" applyBorder="1" applyAlignment="1"/>
    <xf numFmtId="4" fontId="9" fillId="42" borderId="0" xfId="0" applyNumberFormat="1" applyFont="1" applyFill="1" applyBorder="1" applyAlignment="1"/>
    <xf numFmtId="0" fontId="10" fillId="0" borderId="15" xfId="322" applyFont="1" applyBorder="1"/>
    <xf numFmtId="3" fontId="9" fillId="42" borderId="0" xfId="0" applyNumberFormat="1" applyFont="1" applyFill="1" applyBorder="1" applyAlignment="1">
      <alignment horizontal="center" vertical="center"/>
    </xf>
    <xf numFmtId="4" fontId="9" fillId="36" borderId="0" xfId="0" applyNumberFormat="1" applyFont="1" applyFill="1" applyBorder="1" applyAlignment="1"/>
    <xf numFmtId="4" fontId="9" fillId="36" borderId="14" xfId="0" applyNumberFormat="1" applyFont="1" applyFill="1" applyBorder="1" applyAlignment="1"/>
    <xf numFmtId="0" fontId="19" fillId="0" borderId="0" xfId="325" applyFont="1" applyFill="1" applyAlignment="1">
      <alignment horizontal="center" vertical="top"/>
    </xf>
    <xf numFmtId="0" fontId="24" fillId="0" borderId="15" xfId="0" applyFont="1" applyBorder="1" applyAlignment="1">
      <alignment horizontal="center"/>
    </xf>
    <xf numFmtId="0" fontId="10" fillId="0" borderId="15" xfId="322" applyFont="1" applyBorder="1" applyAlignment="1">
      <alignment horizontal="left"/>
    </xf>
    <xf numFmtId="3" fontId="9" fillId="0" borderId="0" xfId="0" applyNumberFormat="1" applyFont="1"/>
    <xf numFmtId="3" fontId="9" fillId="0" borderId="0" xfId="0" applyNumberFormat="1" applyFont="1" applyFill="1" applyBorder="1"/>
    <xf numFmtId="0" fontId="10" fillId="0" borderId="15" xfId="322" applyFont="1" applyFill="1" applyBorder="1" applyAlignment="1">
      <alignment horizontal="left"/>
    </xf>
    <xf numFmtId="3" fontId="0" fillId="0" borderId="0" xfId="0" applyNumberFormat="1"/>
    <xf numFmtId="3" fontId="9" fillId="0" borderId="0" xfId="322" quotePrefix="1" applyNumberFormat="1" applyFont="1" applyBorder="1"/>
    <xf numFmtId="0" fontId="10" fillId="0" borderId="15" xfId="0" applyFont="1" applyBorder="1" applyAlignment="1"/>
    <xf numFmtId="49" fontId="10" fillId="0" borderId="15" xfId="323" applyNumberFormat="1" applyFont="1" applyFill="1" applyBorder="1" applyAlignment="1" applyProtection="1">
      <alignment horizontal="left"/>
      <protection locked="0"/>
    </xf>
    <xf numFmtId="49" fontId="10" fillId="0" borderId="15" xfId="324" quotePrefix="1" applyNumberFormat="1" applyFont="1" applyFill="1" applyBorder="1" applyAlignment="1" applyProtection="1">
      <alignment horizontal="left"/>
      <protection locked="0"/>
    </xf>
    <xf numFmtId="194" fontId="9" fillId="0" borderId="21" xfId="0" applyNumberFormat="1" applyFont="1" applyBorder="1" applyAlignment="1">
      <alignment horizontal="right" vertical="center"/>
    </xf>
    <xf numFmtId="0" fontId="10" fillId="42" borderId="15" xfId="322" applyFont="1" applyFill="1" applyBorder="1"/>
    <xf numFmtId="3" fontId="10" fillId="42" borderId="14" xfId="0" applyNumberFormat="1" applyFont="1" applyFill="1" applyBorder="1" applyAlignment="1"/>
    <xf numFmtId="0" fontId="10" fillId="42" borderId="15" xfId="322" applyFont="1" applyFill="1" applyBorder="1" applyAlignment="1">
      <alignment horizontal="left"/>
    </xf>
    <xf numFmtId="14" fontId="9" fillId="0" borderId="0" xfId="0" applyNumberFormat="1" applyFont="1" applyBorder="1" applyAlignment="1"/>
    <xf numFmtId="0" fontId="9" fillId="0" borderId="0" xfId="0" applyFont="1" applyAlignment="1">
      <alignment horizontal="right"/>
    </xf>
    <xf numFmtId="0" fontId="9" fillId="0" borderId="0" xfId="846" quotePrefix="1" applyFont="1"/>
    <xf numFmtId="17" fontId="9" fillId="0" borderId="0" xfId="846" applyNumberFormat="1" applyFont="1" applyAlignment="1">
      <alignment horizontal="center" vertical="center"/>
    </xf>
    <xf numFmtId="0" fontId="9" fillId="0" borderId="0" xfId="0" applyFont="1" applyAlignment="1">
      <alignment horizontal="center" vertical="center"/>
    </xf>
    <xf numFmtId="14" fontId="8" fillId="0" borderId="15" xfId="325" applyNumberFormat="1" applyBorder="1"/>
    <xf numFmtId="0" fontId="8" fillId="0" borderId="15" xfId="325" applyNumberFormat="1" applyBorder="1"/>
    <xf numFmtId="0" fontId="10" fillId="0" borderId="0" xfId="322" applyFont="1" applyBorder="1"/>
    <xf numFmtId="14" fontId="8" fillId="0" borderId="0" xfId="325" applyNumberFormat="1"/>
    <xf numFmtId="0" fontId="8" fillId="0" borderId="0" xfId="325" applyNumberFormat="1"/>
    <xf numFmtId="0" fontId="9" fillId="0" borderId="0" xfId="0" applyFont="1" applyFill="1" applyBorder="1" applyAlignment="1">
      <alignment horizontal="center"/>
    </xf>
    <xf numFmtId="4" fontId="10" fillId="0" borderId="14" xfId="0" applyNumberFormat="1" applyFont="1" applyBorder="1"/>
    <xf numFmtId="2" fontId="9" fillId="0" borderId="14" xfId="0" applyNumberFormat="1" applyFont="1" applyFill="1" applyBorder="1" applyAlignment="1">
      <alignment horizontal="left"/>
    </xf>
    <xf numFmtId="195" fontId="9" fillId="0" borderId="0" xfId="0" applyNumberFormat="1" applyFont="1" applyBorder="1"/>
    <xf numFmtId="3" fontId="10" fillId="0" borderId="0" xfId="0" applyNumberFormat="1" applyFont="1" applyBorder="1" applyAlignment="1">
      <alignment horizontal="center" vertical="center"/>
    </xf>
    <xf numFmtId="0" fontId="6" fillId="0" borderId="0" xfId="0" applyFont="1" applyAlignment="1">
      <alignment horizontal="center"/>
    </xf>
    <xf numFmtId="3" fontId="9" fillId="36" borderId="0" xfId="0" applyNumberFormat="1" applyFont="1" applyFill="1"/>
    <xf numFmtId="0" fontId="10" fillId="44" borderId="0" xfId="534" applyFont="1" applyFill="1" applyBorder="1" applyAlignment="1">
      <alignment horizontal="center" vertical="center"/>
    </xf>
    <xf numFmtId="0" fontId="10" fillId="36" borderId="15" xfId="0" applyFont="1" applyFill="1" applyBorder="1"/>
    <xf numFmtId="194" fontId="9" fillId="36" borderId="0" xfId="0" applyNumberFormat="1" applyFont="1" applyFill="1" applyBorder="1" applyAlignment="1">
      <alignment horizontal="right" vertical="center"/>
    </xf>
    <xf numFmtId="4" fontId="9" fillId="36" borderId="0" xfId="0" applyNumberFormat="1" applyFont="1" applyFill="1" applyBorder="1" applyAlignment="1">
      <alignment horizontal="right" vertical="center"/>
    </xf>
    <xf numFmtId="4" fontId="9" fillId="36" borderId="0" xfId="0" applyNumberFormat="1" applyFont="1" applyFill="1" applyBorder="1" applyAlignment="1">
      <alignment horizontal="right"/>
    </xf>
    <xf numFmtId="0" fontId="10" fillId="36" borderId="15" xfId="322" applyFont="1" applyFill="1" applyBorder="1"/>
    <xf numFmtId="0" fontId="10" fillId="36" borderId="15" xfId="322" applyFont="1" applyFill="1" applyBorder="1" applyAlignment="1">
      <alignment horizontal="left"/>
    </xf>
    <xf numFmtId="0" fontId="10" fillId="36" borderId="24" xfId="322" applyFont="1" applyFill="1" applyBorder="1" applyAlignment="1">
      <alignment horizontal="left"/>
    </xf>
    <xf numFmtId="3" fontId="9" fillId="0" borderId="47" xfId="0" applyNumberFormat="1" applyFont="1" applyBorder="1" applyAlignment="1"/>
    <xf numFmtId="3" fontId="9" fillId="0" borderId="48" xfId="0" applyNumberFormat="1" applyFont="1" applyBorder="1" applyAlignment="1"/>
    <xf numFmtId="0" fontId="10" fillId="36" borderId="0" xfId="0" applyFont="1" applyFill="1"/>
    <xf numFmtId="0" fontId="10" fillId="42" borderId="0" xfId="0" applyFont="1" applyFill="1" applyAlignment="1">
      <alignment wrapText="1"/>
    </xf>
    <xf numFmtId="3" fontId="9" fillId="42" borderId="0" xfId="0" applyNumberFormat="1" applyFont="1" applyFill="1"/>
    <xf numFmtId="3" fontId="9" fillId="42" borderId="14" xfId="0" applyNumberFormat="1" applyFont="1" applyFill="1" applyBorder="1"/>
    <xf numFmtId="3" fontId="10" fillId="42" borderId="14" xfId="0" applyNumberFormat="1" applyFont="1" applyFill="1" applyBorder="1"/>
    <xf numFmtId="0" fontId="10" fillId="42" borderId="0" xfId="0" applyFont="1" applyFill="1"/>
    <xf numFmtId="0" fontId="10" fillId="42" borderId="24" xfId="322" applyFont="1" applyFill="1" applyBorder="1"/>
    <xf numFmtId="4" fontId="9" fillId="42" borderId="0" xfId="0" applyNumberFormat="1" applyFont="1" applyFill="1"/>
    <xf numFmtId="4" fontId="9" fillId="42" borderId="14" xfId="0" applyNumberFormat="1" applyFont="1" applyFill="1" applyBorder="1"/>
    <xf numFmtId="4" fontId="10" fillId="42" borderId="14" xfId="0" applyNumberFormat="1" applyFont="1" applyFill="1" applyBorder="1"/>
    <xf numFmtId="3" fontId="9" fillId="42" borderId="15" xfId="0" applyNumberFormat="1" applyFont="1" applyFill="1" applyBorder="1" applyAlignment="1"/>
    <xf numFmtId="3" fontId="9" fillId="42" borderId="14" xfId="0" applyNumberFormat="1" applyFont="1" applyFill="1" applyBorder="1" applyAlignment="1"/>
    <xf numFmtId="3" fontId="10" fillId="42" borderId="0" xfId="0" applyNumberFormat="1" applyFont="1" applyFill="1" applyBorder="1" applyAlignment="1">
      <alignment vertical="center"/>
    </xf>
    <xf numFmtId="3" fontId="10" fillId="42" borderId="24" xfId="0" applyNumberFormat="1" applyFont="1" applyFill="1" applyBorder="1" applyAlignment="1"/>
    <xf numFmtId="0" fontId="9" fillId="42" borderId="15" xfId="322" quotePrefix="1" applyFont="1" applyFill="1" applyBorder="1" applyAlignment="1">
      <alignment horizontal="center"/>
    </xf>
    <xf numFmtId="193" fontId="9" fillId="42" borderId="0" xfId="0" applyNumberFormat="1" applyFont="1" applyFill="1" applyBorder="1" applyAlignment="1">
      <alignment horizontal="left"/>
    </xf>
    <xf numFmtId="0" fontId="9" fillId="42" borderId="0" xfId="0" applyFont="1" applyFill="1" applyBorder="1" applyAlignment="1">
      <alignment horizontal="left"/>
    </xf>
    <xf numFmtId="2" fontId="9" fillId="42" borderId="14" xfId="0" applyNumberFormat="1" applyFont="1" applyFill="1" applyBorder="1" applyAlignment="1">
      <alignment horizontal="left"/>
    </xf>
    <xf numFmtId="0" fontId="9" fillId="42" borderId="0" xfId="322" quotePrefix="1" applyFont="1" applyFill="1" applyBorder="1"/>
    <xf numFmtId="0" fontId="6" fillId="42" borderId="0" xfId="0" applyFont="1" applyFill="1" applyAlignment="1">
      <alignment horizontal="center"/>
    </xf>
    <xf numFmtId="0" fontId="6" fillId="42" borderId="0" xfId="0" applyFont="1" applyFill="1"/>
    <xf numFmtId="0" fontId="0" fillId="42" borderId="0" xfId="0" applyFill="1"/>
    <xf numFmtId="3" fontId="10" fillId="42" borderId="0" xfId="0" applyNumberFormat="1" applyFont="1" applyFill="1" applyBorder="1" applyAlignment="1"/>
    <xf numFmtId="0" fontId="9" fillId="0" borderId="15" xfId="322" quotePrefix="1" applyFont="1" applyFill="1" applyBorder="1" applyAlignment="1">
      <alignment horizontal="center"/>
    </xf>
    <xf numFmtId="0" fontId="9" fillId="0" borderId="0" xfId="0" applyNumberFormat="1" applyFont="1" applyFill="1" applyBorder="1"/>
    <xf numFmtId="194" fontId="9" fillId="0" borderId="0" xfId="0" applyNumberFormat="1" applyFont="1" applyFill="1"/>
    <xf numFmtId="194" fontId="9" fillId="0" borderId="0" xfId="0" applyNumberFormat="1" applyFont="1" applyFill="1" applyBorder="1"/>
    <xf numFmtId="0" fontId="10" fillId="42" borderId="0" xfId="322" applyFont="1" applyFill="1" applyBorder="1"/>
    <xf numFmtId="0" fontId="78" fillId="0" borderId="15" xfId="322" applyFont="1" applyBorder="1"/>
    <xf numFmtId="0" fontId="13" fillId="41" borderId="21" xfId="325" applyFont="1" applyFill="1" applyBorder="1" applyAlignment="1">
      <alignment horizontal="center" vertical="top" wrapText="1"/>
    </xf>
    <xf numFmtId="0" fontId="13" fillId="41" borderId="0" xfId="325" applyFont="1" applyFill="1" applyBorder="1" applyAlignment="1">
      <alignment horizontal="center" vertical="top" wrapText="1"/>
    </xf>
    <xf numFmtId="0" fontId="10" fillId="42" borderId="15" xfId="0" applyFont="1" applyFill="1" applyBorder="1"/>
    <xf numFmtId="0" fontId="10" fillId="0" borderId="15" xfId="322" applyFont="1" applyFill="1" applyBorder="1"/>
    <xf numFmtId="3" fontId="9" fillId="0" borderId="0" xfId="0" applyNumberFormat="1" applyFont="1" applyFill="1"/>
    <xf numFmtId="3" fontId="10" fillId="0" borderId="0" xfId="0" applyNumberFormat="1" applyFont="1" applyFill="1" applyBorder="1"/>
    <xf numFmtId="0" fontId="10" fillId="42" borderId="24" xfId="322" applyFont="1" applyFill="1" applyBorder="1" applyAlignment="1">
      <alignment horizontal="left"/>
    </xf>
    <xf numFmtId="4" fontId="9" fillId="42" borderId="14" xfId="0" applyNumberFormat="1" applyFont="1" applyFill="1" applyBorder="1" applyAlignment="1"/>
    <xf numFmtId="3" fontId="9" fillId="0" borderId="49" xfId="0" applyNumberFormat="1" applyFont="1" applyBorder="1" applyAlignment="1"/>
    <xf numFmtId="194" fontId="9" fillId="0" borderId="50" xfId="0" applyNumberFormat="1" applyFont="1" applyBorder="1" applyAlignment="1">
      <alignment horizontal="right" vertical="center"/>
    </xf>
    <xf numFmtId="3" fontId="10" fillId="0" borderId="14" xfId="0" applyNumberFormat="1" applyFont="1" applyFill="1" applyBorder="1" applyAlignment="1"/>
    <xf numFmtId="3" fontId="9" fillId="0" borderId="0" xfId="0" applyNumberFormat="1" applyFont="1" applyFill="1" applyBorder="1" applyAlignment="1">
      <alignment horizontal="center" vertical="center"/>
    </xf>
    <xf numFmtId="3" fontId="9" fillId="0" borderId="0" xfId="325" applyNumberFormat="1" applyFont="1" applyFill="1" applyAlignment="1">
      <alignment vertical="top" wrapText="1"/>
    </xf>
    <xf numFmtId="0" fontId="9" fillId="42" borderId="0" xfId="0" applyNumberFormat="1" applyFont="1" applyFill="1" applyBorder="1"/>
    <xf numFmtId="194" fontId="9" fillId="42" borderId="0" xfId="0" applyNumberFormat="1" applyFont="1" applyFill="1"/>
    <xf numFmtId="0" fontId="9" fillId="0" borderId="0" xfId="325" applyFont="1" applyFill="1" applyBorder="1" applyAlignment="1">
      <alignment horizontal="right" vertical="top" wrapText="1"/>
    </xf>
    <xf numFmtId="0" fontId="9" fillId="0" borderId="14" xfId="325" applyFont="1" applyFill="1" applyBorder="1" applyAlignment="1">
      <alignment horizontal="right" vertical="top" wrapText="1"/>
    </xf>
    <xf numFmtId="195" fontId="9" fillId="0" borderId="0" xfId="0" applyNumberFormat="1" applyFont="1" applyBorder="1" applyAlignment="1">
      <alignment horizontal="right"/>
    </xf>
    <xf numFmtId="195" fontId="9" fillId="0" borderId="0" xfId="325" applyNumberFormat="1" applyFont="1" applyFill="1" applyBorder="1" applyAlignment="1">
      <alignment horizontal="right" vertical="top" wrapText="1"/>
    </xf>
    <xf numFmtId="196" fontId="9" fillId="42" borderId="0" xfId="0" applyNumberFormat="1" applyFont="1" applyFill="1"/>
    <xf numFmtId="2" fontId="9" fillId="0" borderId="0" xfId="325" applyNumberFormat="1" applyFont="1" applyFill="1" applyBorder="1" applyAlignment="1">
      <alignment horizontal="right" vertical="top" wrapText="1"/>
    </xf>
    <xf numFmtId="2" fontId="9" fillId="0" borderId="14" xfId="325" applyNumberFormat="1" applyFont="1" applyFill="1" applyBorder="1" applyAlignment="1">
      <alignment horizontal="right" vertical="top" wrapText="1"/>
    </xf>
    <xf numFmtId="3" fontId="10" fillId="0" borderId="14" xfId="0" applyNumberFormat="1" applyFont="1" applyFill="1" applyBorder="1"/>
    <xf numFmtId="196" fontId="10" fillId="42" borderId="14" xfId="0" applyNumberFormat="1" applyFont="1" applyFill="1" applyBorder="1"/>
    <xf numFmtId="4" fontId="10" fillId="0" borderId="14" xfId="0" applyNumberFormat="1" applyFont="1" applyFill="1" applyBorder="1"/>
    <xf numFmtId="4" fontId="9" fillId="0" borderId="0" xfId="325" applyNumberFormat="1" applyFont="1" applyFill="1" applyBorder="1" applyAlignment="1">
      <alignment horizontal="right" vertical="top" wrapText="1"/>
    </xf>
    <xf numFmtId="196" fontId="9" fillId="42" borderId="14" xfId="0" applyNumberFormat="1" applyFont="1" applyFill="1" applyBorder="1"/>
    <xf numFmtId="196" fontId="9" fillId="42" borderId="0" xfId="0" applyNumberFormat="1" applyFont="1" applyFill="1" applyBorder="1" applyAlignment="1"/>
    <xf numFmtId="196" fontId="9" fillId="42" borderId="14" xfId="0" applyNumberFormat="1" applyFont="1" applyFill="1" applyBorder="1" applyAlignment="1"/>
    <xf numFmtId="196" fontId="9" fillId="0" borderId="0" xfId="0" applyNumberFormat="1" applyFont="1" applyFill="1" applyBorder="1" applyAlignment="1"/>
    <xf numFmtId="196" fontId="9" fillId="0" borderId="14" xfId="0" applyNumberFormat="1" applyFont="1" applyFill="1" applyBorder="1" applyAlignment="1"/>
    <xf numFmtId="196" fontId="10" fillId="0" borderId="14" xfId="0" applyNumberFormat="1" applyFont="1" applyFill="1" applyBorder="1"/>
    <xf numFmtId="3" fontId="9" fillId="0" borderId="14" xfId="0" applyNumberFormat="1" applyFont="1" applyFill="1" applyBorder="1"/>
    <xf numFmtId="1" fontId="9" fillId="0" borderId="0" xfId="0" applyNumberFormat="1" applyFont="1" applyFill="1" applyBorder="1" applyAlignment="1"/>
    <xf numFmtId="4" fontId="9" fillId="0" borderId="0" xfId="0" applyNumberFormat="1" applyFont="1" applyFill="1" applyBorder="1" applyAlignment="1"/>
    <xf numFmtId="4" fontId="9" fillId="0" borderId="14" xfId="0" applyNumberFormat="1" applyFont="1" applyFill="1" applyBorder="1" applyAlignment="1"/>
    <xf numFmtId="2" fontId="9" fillId="0" borderId="0" xfId="0" applyNumberFormat="1" applyFont="1" applyBorder="1" applyAlignment="1">
      <alignment horizontal="center"/>
    </xf>
    <xf numFmtId="2" fontId="9" fillId="0" borderId="0" xfId="325" applyNumberFormat="1" applyFont="1" applyFill="1" applyBorder="1" applyAlignment="1">
      <alignment horizontal="center" vertical="top" wrapText="1"/>
    </xf>
    <xf numFmtId="2" fontId="9" fillId="42" borderId="0" xfId="325" applyNumberFormat="1" applyFont="1" applyFill="1" applyBorder="1" applyAlignment="1">
      <alignment horizontal="center" vertical="top" wrapText="1"/>
    </xf>
    <xf numFmtId="195" fontId="9" fillId="0" borderId="0" xfId="0" applyNumberFormat="1" applyFont="1"/>
    <xf numFmtId="196" fontId="9" fillId="0" borderId="0" xfId="0" applyNumberFormat="1" applyFont="1"/>
    <xf numFmtId="14" fontId="6" fillId="0" borderId="15" xfId="325" applyNumberFormat="1" applyFont="1" applyBorder="1"/>
    <xf numFmtId="4" fontId="10" fillId="0" borderId="24" xfId="0" applyNumberFormat="1" applyFont="1" applyFill="1" applyBorder="1"/>
    <xf numFmtId="0" fontId="10" fillId="0" borderId="24" xfId="322" applyFont="1" applyFill="1" applyBorder="1"/>
    <xf numFmtId="3" fontId="9" fillId="0" borderId="14" xfId="0" applyNumberFormat="1" applyFont="1" applyFill="1" applyBorder="1" applyAlignment="1"/>
    <xf numFmtId="3" fontId="9" fillId="0" borderId="0" xfId="0" applyNumberFormat="1" applyFont="1" applyFill="1" applyBorder="1" applyAlignment="1">
      <alignment horizontal="center"/>
    </xf>
    <xf numFmtId="195" fontId="9" fillId="0" borderId="14" xfId="0" applyNumberFormat="1" applyFont="1" applyBorder="1"/>
    <xf numFmtId="195" fontId="9" fillId="42" borderId="0" xfId="0" applyNumberFormat="1" applyFont="1" applyFill="1" applyBorder="1"/>
    <xf numFmtId="195" fontId="9" fillId="0" borderId="0" xfId="0" applyNumberFormat="1" applyFont="1" applyFill="1" applyBorder="1"/>
    <xf numFmtId="0" fontId="0" fillId="0" borderId="24" xfId="0" applyBorder="1"/>
    <xf numFmtId="3" fontId="9" fillId="41" borderId="0" xfId="0" applyNumberFormat="1" applyFont="1" applyFill="1" applyBorder="1" applyAlignment="1"/>
    <xf numFmtId="0" fontId="9" fillId="41" borderId="15" xfId="322" quotePrefix="1" applyFont="1" applyFill="1" applyBorder="1" applyAlignment="1">
      <alignment horizontal="center"/>
    </xf>
    <xf numFmtId="0" fontId="9" fillId="41" borderId="0" xfId="322" quotePrefix="1" applyFont="1" applyFill="1" applyBorder="1"/>
    <xf numFmtId="0" fontId="9" fillId="41" borderId="0" xfId="0" applyFont="1" applyFill="1" applyBorder="1"/>
    <xf numFmtId="1" fontId="9" fillId="41" borderId="0" xfId="0" applyNumberFormat="1" applyFont="1" applyFill="1" applyBorder="1" applyAlignment="1"/>
    <xf numFmtId="0" fontId="9" fillId="41" borderId="14" xfId="0" applyFont="1" applyFill="1" applyBorder="1"/>
    <xf numFmtId="4" fontId="9" fillId="41" borderId="0" xfId="0" applyNumberFormat="1" applyFont="1" applyFill="1" applyBorder="1" applyAlignment="1"/>
    <xf numFmtId="4" fontId="9" fillId="41" borderId="14" xfId="0" applyNumberFormat="1" applyFont="1" applyFill="1" applyBorder="1" applyAlignment="1"/>
    <xf numFmtId="14" fontId="0" fillId="0" borderId="0" xfId="0" applyNumberFormat="1"/>
    <xf numFmtId="0" fontId="9" fillId="36" borderId="0" xfId="325" applyFont="1" applyFill="1" applyBorder="1" applyAlignment="1">
      <alignment horizontal="right" vertical="top" wrapText="1"/>
    </xf>
    <xf numFmtId="194" fontId="9" fillId="42" borderId="0" xfId="0" applyNumberFormat="1" applyFont="1" applyFill="1" applyBorder="1" applyAlignment="1"/>
    <xf numFmtId="0" fontId="106" fillId="0" borderId="0" xfId="0" applyFont="1" applyAlignment="1">
      <alignment vertical="center"/>
    </xf>
    <xf numFmtId="0" fontId="10" fillId="0" borderId="40" xfId="322" applyFont="1" applyBorder="1"/>
    <xf numFmtId="3" fontId="9" fillId="0" borderId="41" xfId="0" applyNumberFormat="1" applyFont="1" applyBorder="1"/>
    <xf numFmtId="0" fontId="10" fillId="0" borderId="40" xfId="0" applyFont="1" applyBorder="1"/>
    <xf numFmtId="0" fontId="92" fillId="28" borderId="45" xfId="496" applyFont="1" applyFill="1" applyBorder="1" applyAlignment="1">
      <alignment horizontal="center"/>
    </xf>
    <xf numFmtId="14" fontId="6" fillId="0" borderId="0" xfId="0" applyNumberFormat="1" applyFont="1"/>
    <xf numFmtId="10" fontId="9" fillId="0" borderId="45" xfId="12062" applyNumberFormat="1" applyFont="1" applyBorder="1" applyAlignment="1">
      <alignment horizontal="center" vertical="center"/>
    </xf>
    <xf numFmtId="0" fontId="9" fillId="0" borderId="45" xfId="0" applyFont="1" applyBorder="1"/>
    <xf numFmtId="49" fontId="9" fillId="0" borderId="23" xfId="534" applyNumberFormat="1" applyFont="1" applyBorder="1" applyAlignment="1">
      <alignment horizontal="center"/>
    </xf>
    <xf numFmtId="0" fontId="10" fillId="0" borderId="45" xfId="534" applyFont="1" applyFill="1" applyBorder="1"/>
    <xf numFmtId="0" fontId="9" fillId="0" borderId="45" xfId="534" applyFont="1" applyFill="1" applyBorder="1" applyAlignment="1">
      <alignment horizontal="center" wrapText="1"/>
    </xf>
    <xf numFmtId="49" fontId="9" fillId="0" borderId="45" xfId="534" applyNumberFormat="1" applyFont="1" applyBorder="1" applyAlignment="1">
      <alignment horizontal="center"/>
    </xf>
    <xf numFmtId="196" fontId="9" fillId="0" borderId="0" xfId="0" applyNumberFormat="1" applyFont="1" applyBorder="1" applyAlignment="1"/>
    <xf numFmtId="196" fontId="10" fillId="0" borderId="14" xfId="0" applyNumberFormat="1" applyFont="1" applyBorder="1"/>
    <xf numFmtId="196" fontId="9" fillId="0" borderId="14" xfId="0" applyNumberFormat="1" applyFont="1" applyBorder="1" applyAlignment="1"/>
    <xf numFmtId="198" fontId="9" fillId="0" borderId="0" xfId="0" applyNumberFormat="1" applyFont="1"/>
    <xf numFmtId="0" fontId="0" fillId="0" borderId="14" xfId="0" applyBorder="1"/>
    <xf numFmtId="3" fontId="10" fillId="0" borderId="24" xfId="0" applyNumberFormat="1" applyFont="1" applyFill="1" applyBorder="1"/>
    <xf numFmtId="0" fontId="10" fillId="27" borderId="0" xfId="846" applyFont="1" applyFill="1" applyAlignment="1">
      <alignment horizontal="right"/>
    </xf>
    <xf numFmtId="49" fontId="9" fillId="0" borderId="0" xfId="846" applyNumberFormat="1" applyFont="1" applyAlignment="1">
      <alignment horizontal="right"/>
    </xf>
    <xf numFmtId="49" fontId="9" fillId="0" borderId="0" xfId="2962" applyNumberFormat="1" applyFont="1" applyAlignment="1">
      <alignment horizontal="right"/>
    </xf>
    <xf numFmtId="49" fontId="9" fillId="0" borderId="0" xfId="0" applyNumberFormat="1" applyFont="1" applyAlignment="1">
      <alignment horizontal="right"/>
    </xf>
    <xf numFmtId="49" fontId="9" fillId="0" borderId="0" xfId="846" quotePrefix="1" applyNumberFormat="1" applyFont="1"/>
    <xf numFmtId="0" fontId="83" fillId="0" borderId="0" xfId="0" applyFont="1" applyFill="1" applyBorder="1" applyAlignment="1">
      <alignment horizontal="left"/>
    </xf>
    <xf numFmtId="0" fontId="84" fillId="0" borderId="0" xfId="2962" applyFont="1" applyFill="1" applyBorder="1" applyAlignment="1">
      <alignment horizontal="left"/>
    </xf>
    <xf numFmtId="3" fontId="9" fillId="0" borderId="51" xfId="0" applyNumberFormat="1" applyFont="1" applyBorder="1" applyAlignment="1"/>
    <xf numFmtId="0" fontId="9" fillId="0" borderId="0" xfId="773" applyFont="1" applyFill="1" applyAlignment="1">
      <alignment horizontal="left"/>
    </xf>
    <xf numFmtId="49" fontId="9" fillId="0" borderId="0" xfId="773" quotePrefix="1" applyNumberFormat="1" applyFont="1" applyFill="1" applyAlignment="1">
      <alignment horizontal="left"/>
    </xf>
    <xf numFmtId="0" fontId="9" fillId="36" borderId="0" xfId="0" applyFont="1" applyFill="1" applyAlignment="1">
      <alignment horizontal="center"/>
    </xf>
    <xf numFmtId="0" fontId="9" fillId="0" borderId="0" xfId="0" quotePrefix="1" applyFont="1" applyAlignment="1">
      <alignment horizontal="right"/>
    </xf>
    <xf numFmtId="0" fontId="9" fillId="0" borderId="0" xfId="0" applyFont="1" applyAlignment="1">
      <alignment wrapText="1"/>
    </xf>
    <xf numFmtId="0" fontId="9" fillId="0" borderId="23" xfId="534" applyFont="1" applyFill="1" applyBorder="1" applyAlignment="1">
      <alignment horizontal="center" vertical="center"/>
    </xf>
    <xf numFmtId="0" fontId="9" fillId="0" borderId="0" xfId="322" quotePrefix="1" applyFont="1" applyFill="1" applyBorder="1"/>
    <xf numFmtId="3" fontId="9" fillId="0" borderId="52" xfId="0" applyNumberFormat="1" applyFont="1" applyBorder="1" applyAlignment="1"/>
    <xf numFmtId="3" fontId="9" fillId="36" borderId="0" xfId="0" applyNumberFormat="1" applyFont="1" applyFill="1" applyBorder="1" applyAlignment="1">
      <alignment horizontal="center"/>
    </xf>
    <xf numFmtId="3" fontId="9" fillId="36" borderId="0" xfId="0" applyNumberFormat="1" applyFont="1" applyFill="1" applyBorder="1"/>
    <xf numFmtId="14" fontId="9" fillId="0" borderId="0" xfId="0" applyNumberFormat="1" applyFont="1" applyAlignment="1">
      <alignment horizontal="center" vertical="center"/>
    </xf>
    <xf numFmtId="0" fontId="9" fillId="42" borderId="0" xfId="0" applyFont="1" applyFill="1"/>
    <xf numFmtId="195" fontId="9" fillId="42" borderId="0" xfId="0" applyNumberFormat="1" applyFont="1" applyFill="1" applyBorder="1" applyAlignment="1">
      <alignment horizontal="right"/>
    </xf>
    <xf numFmtId="195" fontId="9" fillId="42" borderId="0" xfId="325" applyNumberFormat="1" applyFont="1" applyFill="1" applyBorder="1" applyAlignment="1">
      <alignment horizontal="right" vertical="top" wrapText="1"/>
    </xf>
    <xf numFmtId="1" fontId="9" fillId="0" borderId="0" xfId="325" applyNumberFormat="1" applyFont="1" applyFill="1" applyBorder="1" applyAlignment="1">
      <alignment horizontal="right" vertical="top" wrapText="1"/>
    </xf>
    <xf numFmtId="0" fontId="13" fillId="41" borderId="20" xfId="325" applyFont="1" applyFill="1" applyBorder="1" applyAlignment="1">
      <alignment horizontal="center" vertical="top" wrapText="1"/>
    </xf>
    <xf numFmtId="0" fontId="13" fillId="41" borderId="15" xfId="325" applyFont="1" applyFill="1" applyBorder="1" applyAlignment="1">
      <alignment horizontal="center" vertical="top" wrapText="1"/>
    </xf>
    <xf numFmtId="0" fontId="9" fillId="42" borderId="0" xfId="0" applyFont="1" applyFill="1" applyBorder="1"/>
    <xf numFmtId="1" fontId="9" fillId="42" borderId="0" xfId="0" applyNumberFormat="1" applyFont="1" applyFill="1" applyBorder="1" applyAlignment="1"/>
    <xf numFmtId="14" fontId="9" fillId="42" borderId="0" xfId="0" applyNumberFormat="1" applyFont="1" applyFill="1" applyBorder="1"/>
    <xf numFmtId="3" fontId="9" fillId="41" borderId="0" xfId="0" applyNumberFormat="1" applyFont="1" applyFill="1" applyBorder="1" applyAlignment="1">
      <alignment horizontal="right" vertical="center"/>
    </xf>
    <xf numFmtId="0" fontId="9" fillId="42" borderId="14" xfId="0" applyFont="1" applyFill="1" applyBorder="1"/>
    <xf numFmtId="0" fontId="9" fillId="0" borderId="0" xfId="325" quotePrefix="1" applyFont="1" applyAlignment="1">
      <alignment horizontal="center" vertical="center"/>
    </xf>
    <xf numFmtId="1" fontId="9" fillId="42" borderId="0" xfId="325" applyNumberFormat="1" applyFont="1" applyFill="1" applyBorder="1" applyAlignment="1">
      <alignment horizontal="right" vertical="top" wrapText="1"/>
    </xf>
    <xf numFmtId="0" fontId="10" fillId="0" borderId="53" xfId="0" applyFont="1" applyBorder="1"/>
    <xf numFmtId="3" fontId="9" fillId="0" borderId="11" xfId="0" applyNumberFormat="1" applyFont="1" applyBorder="1"/>
    <xf numFmtId="3" fontId="9" fillId="36" borderId="11" xfId="0" applyNumberFormat="1" applyFont="1" applyFill="1" applyBorder="1"/>
    <xf numFmtId="3" fontId="9" fillId="0" borderId="54" xfId="0" applyNumberFormat="1" applyFont="1" applyBorder="1"/>
    <xf numFmtId="49" fontId="9" fillId="0" borderId="0" xfId="325" quotePrefix="1" applyNumberFormat="1" applyFont="1" applyFill="1" applyAlignment="1">
      <alignment horizontal="center" vertical="top" wrapText="1"/>
    </xf>
    <xf numFmtId="49" fontId="9" fillId="0" borderId="0" xfId="325" quotePrefix="1" applyNumberFormat="1" applyFont="1" applyFill="1" applyAlignment="1">
      <alignment horizontal="center"/>
    </xf>
    <xf numFmtId="49" fontId="81" fillId="0" borderId="0" xfId="0" applyNumberFormat="1" applyFont="1" applyAlignment="1">
      <alignment horizontal="center" vertical="center"/>
    </xf>
    <xf numFmtId="49" fontId="0" fillId="0" borderId="0" xfId="0" applyNumberFormat="1" applyAlignment="1">
      <alignment horizontal="center" vertical="center"/>
    </xf>
    <xf numFmtId="49" fontId="81" fillId="0" borderId="0" xfId="0" applyNumberFormat="1" applyFont="1" applyAlignment="1">
      <alignment horizontal="left" vertical="center"/>
    </xf>
    <xf numFmtId="199" fontId="9" fillId="0" borderId="0" xfId="0" applyNumberFormat="1" applyFont="1" applyBorder="1" applyAlignment="1"/>
    <xf numFmtId="199" fontId="9" fillId="42" borderId="0" xfId="0" applyNumberFormat="1" applyFont="1" applyFill="1" applyBorder="1" applyAlignment="1"/>
    <xf numFmtId="0" fontId="0" fillId="42" borderId="0" xfId="0" applyFill="1" applyBorder="1" applyAlignment="1">
      <alignment horizontal="center"/>
    </xf>
    <xf numFmtId="195" fontId="9" fillId="42" borderId="0" xfId="0" applyNumberFormat="1" applyFont="1" applyFill="1"/>
    <xf numFmtId="3" fontId="0" fillId="42" borderId="0" xfId="0" applyNumberFormat="1" applyFill="1"/>
    <xf numFmtId="2" fontId="9" fillId="0" borderId="0" xfId="325" applyNumberFormat="1" applyFont="1" applyFill="1" applyAlignment="1">
      <alignment horizontal="center" vertical="top" wrapText="1"/>
    </xf>
    <xf numFmtId="0" fontId="9" fillId="0" borderId="14" xfId="0" applyNumberFormat="1" applyFont="1" applyBorder="1" applyAlignment="1">
      <alignment horizontal="center" vertical="center"/>
    </xf>
    <xf numFmtId="0" fontId="9" fillId="0" borderId="14" xfId="325" applyFont="1" applyFill="1" applyBorder="1" applyAlignment="1">
      <alignment horizontal="center" vertical="center" wrapText="1"/>
    </xf>
    <xf numFmtId="0" fontId="10" fillId="0" borderId="14" xfId="534" applyFont="1" applyFill="1" applyBorder="1" applyAlignment="1">
      <alignment horizontal="center" vertical="center"/>
    </xf>
    <xf numFmtId="0" fontId="9" fillId="0" borderId="14" xfId="325" applyFont="1" applyBorder="1" applyAlignment="1">
      <alignment horizontal="center" vertical="center"/>
    </xf>
    <xf numFmtId="49" fontId="9" fillId="0" borderId="14" xfId="325" applyNumberFormat="1" applyFont="1" applyBorder="1" applyAlignment="1">
      <alignment horizontal="center" vertical="center"/>
    </xf>
    <xf numFmtId="14" fontId="90" fillId="0" borderId="23" xfId="846" applyNumberFormat="1" applyFont="1" applyBorder="1" applyAlignment="1">
      <alignment horizontal="center"/>
    </xf>
    <xf numFmtId="0" fontId="6" fillId="0" borderId="0" xfId="0" applyFont="1"/>
    <xf numFmtId="9" fontId="10" fillId="0" borderId="0" xfId="12062" applyFont="1" applyFill="1" applyBorder="1" applyAlignment="1">
      <alignment horizontal="center" vertical="center"/>
    </xf>
    <xf numFmtId="9" fontId="9" fillId="0" borderId="0" xfId="12062" applyFont="1" applyFill="1" applyAlignment="1">
      <alignment horizontal="center" vertical="center" wrapText="1"/>
    </xf>
    <xf numFmtId="0" fontId="9" fillId="0" borderId="0" xfId="0" applyNumberFormat="1" applyFont="1" applyFill="1" applyAlignment="1">
      <alignment horizontal="center" vertical="center"/>
    </xf>
    <xf numFmtId="0" fontId="9" fillId="0" borderId="0" xfId="325" applyFont="1" applyFill="1" applyAlignment="1">
      <alignment horizontal="center" vertical="center"/>
    </xf>
    <xf numFmtId="9" fontId="9" fillId="0" borderId="15" xfId="12062" applyFont="1" applyBorder="1" applyAlignment="1">
      <alignment horizontal="right" vertical="center"/>
    </xf>
    <xf numFmtId="9" fontId="9" fillId="0" borderId="0" xfId="12062" applyFont="1" applyBorder="1" applyAlignment="1">
      <alignment horizontal="right" vertical="center"/>
    </xf>
    <xf numFmtId="9" fontId="9" fillId="42" borderId="0" xfId="12062" applyFont="1" applyFill="1" applyBorder="1" applyAlignment="1">
      <alignment horizontal="right" vertical="center"/>
    </xf>
    <xf numFmtId="14" fontId="9" fillId="0" borderId="0" xfId="0" applyNumberFormat="1" applyFont="1"/>
    <xf numFmtId="9" fontId="9" fillId="0" borderId="14" xfId="12062" applyFont="1" applyBorder="1" applyAlignment="1">
      <alignment horizontal="right" vertical="center"/>
    </xf>
    <xf numFmtId="4" fontId="10" fillId="0" borderId="24" xfId="0" applyNumberFormat="1" applyFont="1" applyBorder="1"/>
    <xf numFmtId="196" fontId="10" fillId="0" borderId="24" xfId="0" applyNumberFormat="1" applyFont="1" applyBorder="1"/>
    <xf numFmtId="3" fontId="9" fillId="0" borderId="55" xfId="0" applyNumberFormat="1" applyFont="1" applyBorder="1" applyAlignment="1"/>
    <xf numFmtId="3" fontId="0" fillId="0" borderId="0" xfId="0" applyNumberFormat="1" applyBorder="1"/>
    <xf numFmtId="3" fontId="10" fillId="42" borderId="24" xfId="0" applyNumberFormat="1" applyFont="1" applyFill="1" applyBorder="1"/>
    <xf numFmtId="3" fontId="9" fillId="0" borderId="56" xfId="0" applyNumberFormat="1" applyFont="1" applyBorder="1" applyAlignment="1"/>
    <xf numFmtId="3" fontId="9" fillId="0" borderId="57" xfId="0" applyNumberFormat="1" applyFont="1" applyBorder="1" applyAlignment="1"/>
    <xf numFmtId="3" fontId="9" fillId="25" borderId="24" xfId="0" applyNumberFormat="1" applyFont="1" applyFill="1" applyBorder="1"/>
    <xf numFmtId="4" fontId="9" fillId="0" borderId="15" xfId="0" applyNumberFormat="1" applyFont="1" applyBorder="1" applyAlignment="1">
      <alignment horizontal="center"/>
    </xf>
    <xf numFmtId="3" fontId="10" fillId="0" borderId="15" xfId="0" applyNumberFormat="1" applyFont="1" applyFill="1" applyBorder="1"/>
    <xf numFmtId="14" fontId="90" fillId="0" borderId="23" xfId="496" applyNumberFormat="1" applyFont="1" applyBorder="1" applyAlignment="1">
      <alignment horizontal="center"/>
    </xf>
    <xf numFmtId="20" fontId="90" fillId="0" borderId="23" xfId="496" applyNumberFormat="1" applyFont="1" applyBorder="1" applyAlignment="1">
      <alignment horizontal="center"/>
    </xf>
    <xf numFmtId="0" fontId="24" fillId="0" borderId="15" xfId="322" applyFont="1" applyBorder="1" applyAlignment="1">
      <alignment horizontal="center"/>
    </xf>
    <xf numFmtId="3" fontId="9" fillId="42" borderId="57" xfId="0" applyNumberFormat="1" applyFont="1" applyFill="1" applyBorder="1" applyAlignment="1"/>
    <xf numFmtId="0" fontId="9" fillId="0" borderId="0" xfId="0" applyNumberFormat="1" applyFont="1" applyAlignment="1">
      <alignment horizontal="right"/>
    </xf>
    <xf numFmtId="3" fontId="9" fillId="41" borderId="0" xfId="0" applyNumberFormat="1" applyFont="1" applyFill="1" applyBorder="1"/>
    <xf numFmtId="0" fontId="10" fillId="0" borderId="0" xfId="0" applyFont="1" applyFill="1"/>
    <xf numFmtId="200" fontId="9" fillId="0" borderId="0" xfId="0" applyNumberFormat="1" applyFont="1" applyBorder="1" applyAlignment="1"/>
    <xf numFmtId="200" fontId="9" fillId="42" borderId="0" xfId="0" applyNumberFormat="1" applyFont="1" applyFill="1" applyBorder="1" applyAlignment="1"/>
    <xf numFmtId="49" fontId="9" fillId="0" borderId="0" xfId="0" applyNumberFormat="1" applyFont="1" applyAlignment="1">
      <alignment horizontal="center" vertical="center"/>
    </xf>
    <xf numFmtId="49" fontId="80" fillId="0" borderId="0" xfId="0" applyNumberFormat="1" applyFont="1" applyFill="1" applyBorder="1" applyAlignment="1">
      <alignment horizontal="center" vertical="center"/>
    </xf>
    <xf numFmtId="49" fontId="10" fillId="27" borderId="23" xfId="321" applyNumberFormat="1" applyFont="1" applyFill="1" applyBorder="1" applyAlignment="1">
      <alignment horizontal="center" vertical="center"/>
    </xf>
    <xf numFmtId="0" fontId="10" fillId="27" borderId="23" xfId="321" applyFont="1" applyFill="1" applyBorder="1" applyAlignment="1">
      <alignment horizontal="center" vertical="center" wrapText="1"/>
    </xf>
    <xf numFmtId="49" fontId="82" fillId="0" borderId="0" xfId="0" applyNumberFormat="1" applyFont="1" applyAlignment="1">
      <alignment horizontal="center" vertical="center"/>
    </xf>
    <xf numFmtId="49" fontId="6" fillId="0" borderId="0" xfId="0" applyNumberFormat="1" applyFont="1" applyAlignment="1">
      <alignment horizontal="center" vertical="center"/>
    </xf>
    <xf numFmtId="0" fontId="8" fillId="0" borderId="0" xfId="0" applyNumberFormat="1" applyFont="1" applyAlignment="1">
      <alignment horizontal="center" vertical="center"/>
    </xf>
    <xf numFmtId="49" fontId="9" fillId="41" borderId="0" xfId="0" quotePrefix="1" applyNumberFormat="1" applyFont="1" applyFill="1" applyBorder="1" applyAlignment="1">
      <alignment horizontal="right" vertical="center"/>
    </xf>
    <xf numFmtId="0" fontId="6" fillId="0" borderId="0" xfId="846" applyAlignment="1">
      <alignment wrapText="1"/>
    </xf>
    <xf numFmtId="0" fontId="0" fillId="0" borderId="0" xfId="0" applyAlignment="1">
      <alignment wrapText="1"/>
    </xf>
    <xf numFmtId="0" fontId="9" fillId="0" borderId="0" xfId="325" applyFont="1" applyFill="1" applyAlignment="1">
      <alignment vertical="center" wrapText="1"/>
    </xf>
    <xf numFmtId="0" fontId="76" fillId="0" borderId="16" xfId="325" applyFont="1" applyFill="1" applyBorder="1" applyAlignment="1">
      <alignment vertical="center" wrapText="1"/>
    </xf>
    <xf numFmtId="49" fontId="9" fillId="0" borderId="0" xfId="0" quotePrefix="1" applyNumberFormat="1" applyFont="1" applyBorder="1" applyAlignment="1">
      <alignment horizontal="right" vertical="center"/>
    </xf>
    <xf numFmtId="200" fontId="9" fillId="36" borderId="0" xfId="0" applyNumberFormat="1" applyFont="1" applyFill="1" applyBorder="1" applyAlignment="1"/>
    <xf numFmtId="3" fontId="10" fillId="36" borderId="24" xfId="0" applyNumberFormat="1" applyFont="1" applyFill="1" applyBorder="1"/>
    <xf numFmtId="4" fontId="10" fillId="36" borderId="24" xfId="0" applyNumberFormat="1" applyFont="1" applyFill="1" applyBorder="1"/>
    <xf numFmtId="9" fontId="9" fillId="41" borderId="0" xfId="12062" applyFont="1" applyFill="1" applyBorder="1" applyAlignment="1">
      <alignment horizontal="right" vertical="center"/>
    </xf>
    <xf numFmtId="49" fontId="9" fillId="0" borderId="0" xfId="0" applyNumberFormat="1" applyFont="1" applyFill="1" applyBorder="1" applyAlignment="1">
      <alignment horizontal="right" vertical="center"/>
    </xf>
    <xf numFmtId="2" fontId="9" fillId="36" borderId="0" xfId="325" applyNumberFormat="1" applyFont="1" applyFill="1" applyBorder="1" applyAlignment="1">
      <alignment horizontal="right" vertical="top" wrapText="1"/>
    </xf>
    <xf numFmtId="0" fontId="9" fillId="0" borderId="0" xfId="0" quotePrefix="1" applyFont="1"/>
    <xf numFmtId="4" fontId="10" fillId="42" borderId="24" xfId="0" applyNumberFormat="1" applyFont="1" applyFill="1" applyBorder="1"/>
    <xf numFmtId="0" fontId="9" fillId="0" borderId="58" xfId="325" applyFont="1" applyFill="1" applyBorder="1" applyAlignment="1">
      <alignment vertical="top" wrapText="1"/>
    </xf>
    <xf numFmtId="0" fontId="9" fillId="0" borderId="15" xfId="325" applyFont="1" applyFill="1" applyBorder="1" applyAlignment="1">
      <alignment vertical="top" wrapText="1"/>
    </xf>
    <xf numFmtId="0" fontId="13" fillId="27" borderId="59" xfId="325" applyFont="1" applyFill="1" applyBorder="1" applyAlignment="1">
      <alignment horizontal="center" vertical="top" wrapText="1"/>
    </xf>
    <xf numFmtId="0" fontId="10" fillId="41" borderId="15" xfId="322" applyFont="1" applyFill="1" applyBorder="1"/>
    <xf numFmtId="3" fontId="10" fillId="0" borderId="24" xfId="0" applyNumberFormat="1" applyFont="1" applyFill="1" applyBorder="1" applyAlignment="1"/>
    <xf numFmtId="3" fontId="9" fillId="0" borderId="60" xfId="0" applyNumberFormat="1" applyFont="1" applyBorder="1" applyAlignment="1"/>
    <xf numFmtId="0" fontId="25" fillId="0" borderId="15" xfId="0" applyFont="1" applyFill="1" applyBorder="1"/>
    <xf numFmtId="0" fontId="14" fillId="0" borderId="15" xfId="0" applyFont="1" applyFill="1" applyBorder="1"/>
    <xf numFmtId="0" fontId="23" fillId="0" borderId="15" xfId="0" applyFont="1" applyFill="1" applyBorder="1"/>
    <xf numFmtId="4" fontId="9" fillId="0" borderId="0" xfId="0" applyNumberFormat="1" applyFont="1"/>
    <xf numFmtId="0" fontId="10" fillId="0" borderId="0" xfId="322" applyFont="1" applyFill="1" applyBorder="1"/>
    <xf numFmtId="10" fontId="9" fillId="0" borderId="0" xfId="12062" applyNumberFormat="1" applyFont="1" applyFill="1" applyAlignment="1"/>
    <xf numFmtId="0" fontId="9" fillId="0" borderId="0" xfId="325" applyNumberFormat="1" applyFont="1" applyFill="1" applyAlignment="1">
      <alignment vertical="top" wrapText="1"/>
    </xf>
    <xf numFmtId="0" fontId="0" fillId="0" borderId="0" xfId="0" applyNumberFormat="1" applyBorder="1"/>
    <xf numFmtId="196" fontId="10" fillId="0" borderId="24" xfId="0" applyNumberFormat="1" applyFont="1" applyFill="1" applyBorder="1"/>
    <xf numFmtId="3" fontId="9" fillId="0" borderId="61" xfId="0" applyNumberFormat="1" applyFont="1" applyBorder="1" applyAlignment="1"/>
    <xf numFmtId="10" fontId="10" fillId="0" borderId="24" xfId="12062" applyNumberFormat="1" applyFont="1" applyFill="1" applyBorder="1" applyAlignment="1"/>
    <xf numFmtId="196" fontId="10" fillId="42" borderId="24" xfId="0" applyNumberFormat="1" applyFont="1" applyFill="1" applyBorder="1"/>
    <xf numFmtId="0" fontId="13" fillId="27" borderId="63" xfId="325" applyFont="1" applyFill="1" applyBorder="1" applyAlignment="1">
      <alignment horizontal="center" vertical="top" wrapText="1"/>
    </xf>
    <xf numFmtId="2" fontId="9" fillId="41" borderId="0" xfId="325" applyNumberFormat="1" applyFont="1" applyFill="1" applyBorder="1" applyAlignment="1">
      <alignment horizontal="right" vertical="top" wrapText="1"/>
    </xf>
    <xf numFmtId="0" fontId="92" fillId="28" borderId="20" xfId="496" applyFont="1" applyFill="1" applyBorder="1" applyAlignment="1">
      <alignment horizontal="center" vertical="center"/>
    </xf>
    <xf numFmtId="0" fontId="93" fillId="28" borderId="22" xfId="496" applyFont="1" applyFill="1" applyBorder="1" applyAlignment="1">
      <alignment horizontal="center" vertical="center"/>
    </xf>
    <xf numFmtId="0" fontId="93" fillId="28" borderId="15" xfId="496" applyFont="1" applyFill="1" applyBorder="1" applyAlignment="1">
      <alignment horizontal="center" vertical="center"/>
    </xf>
    <xf numFmtId="0" fontId="93" fillId="28" borderId="14" xfId="496" applyFont="1" applyFill="1" applyBorder="1" applyAlignment="1">
      <alignment horizontal="center" vertical="center"/>
    </xf>
    <xf numFmtId="0" fontId="93" fillId="28" borderId="18" xfId="496" applyFont="1" applyFill="1" applyBorder="1" applyAlignment="1">
      <alignment horizontal="center" vertical="center"/>
    </xf>
    <xf numFmtId="0" fontId="93" fillId="28" borderId="19" xfId="496" applyFont="1" applyFill="1" applyBorder="1" applyAlignment="1">
      <alignment horizontal="center" vertical="center"/>
    </xf>
    <xf numFmtId="0" fontId="93" fillId="28" borderId="21" xfId="496" applyFont="1" applyFill="1" applyBorder="1" applyAlignment="1">
      <alignment horizontal="center" vertical="center"/>
    </xf>
    <xf numFmtId="0" fontId="93" fillId="28" borderId="0" xfId="496" applyFont="1" applyFill="1" applyBorder="1" applyAlignment="1">
      <alignment horizontal="center" vertical="center"/>
    </xf>
    <xf numFmtId="0" fontId="93" fillId="28" borderId="16" xfId="496" applyFont="1" applyFill="1" applyBorder="1" applyAlignment="1">
      <alignment horizontal="center" vertical="center"/>
    </xf>
    <xf numFmtId="0" fontId="92" fillId="29" borderId="20" xfId="496" applyFont="1" applyFill="1" applyBorder="1" applyAlignment="1">
      <alignment horizontal="center" vertical="center"/>
    </xf>
    <xf numFmtId="0" fontId="93" fillId="29" borderId="21" xfId="496" applyFont="1" applyFill="1" applyBorder="1" applyAlignment="1">
      <alignment horizontal="center" vertical="center"/>
    </xf>
    <xf numFmtId="0" fontId="93" fillId="29" borderId="22" xfId="496" applyFont="1" applyFill="1" applyBorder="1" applyAlignment="1">
      <alignment horizontal="center" vertical="center"/>
    </xf>
    <xf numFmtId="0" fontId="93" fillId="29" borderId="15" xfId="496" applyFont="1" applyFill="1" applyBorder="1" applyAlignment="1">
      <alignment horizontal="center" vertical="center"/>
    </xf>
    <xf numFmtId="0" fontId="93" fillId="29" borderId="0" xfId="496" applyFont="1" applyFill="1" applyBorder="1" applyAlignment="1">
      <alignment horizontal="center" vertical="center"/>
    </xf>
    <xf numFmtId="0" fontId="93" fillId="29" borderId="14" xfId="496" applyFont="1" applyFill="1" applyBorder="1" applyAlignment="1">
      <alignment horizontal="center" vertical="center"/>
    </xf>
    <xf numFmtId="0" fontId="93" fillId="29" borderId="18" xfId="496" applyFont="1" applyFill="1" applyBorder="1" applyAlignment="1">
      <alignment horizontal="center" vertical="center"/>
    </xf>
    <xf numFmtId="0" fontId="93" fillId="29" borderId="16" xfId="496" applyFont="1" applyFill="1" applyBorder="1" applyAlignment="1">
      <alignment horizontal="center" vertical="center"/>
    </xf>
    <xf numFmtId="0" fontId="93" fillId="29" borderId="19" xfId="496" applyFont="1" applyFill="1" applyBorder="1" applyAlignment="1">
      <alignment horizontal="center" vertical="center"/>
    </xf>
    <xf numFmtId="0" fontId="92" fillId="28" borderId="30" xfId="496" applyFont="1" applyFill="1" applyBorder="1" applyAlignment="1">
      <alignment horizontal="center" vertical="center"/>
    </xf>
    <xf numFmtId="0" fontId="93" fillId="28" borderId="24" xfId="496" applyFont="1" applyFill="1" applyBorder="1" applyAlignment="1">
      <alignment horizontal="center" vertical="center"/>
    </xf>
    <xf numFmtId="0" fontId="93" fillId="28" borderId="26" xfId="496" applyFont="1" applyFill="1" applyBorder="1" applyAlignment="1">
      <alignment horizontal="center" vertical="center"/>
    </xf>
    <xf numFmtId="0" fontId="90" fillId="0" borderId="30" xfId="496" applyFont="1" applyBorder="1" applyAlignment="1">
      <alignment horizontal="center" vertical="center"/>
    </xf>
    <xf numFmtId="0" fontId="94" fillId="0" borderId="24" xfId="496" applyFont="1" applyBorder="1" applyAlignment="1">
      <alignment horizontal="center" vertical="center"/>
    </xf>
    <xf numFmtId="0" fontId="94" fillId="0" borderId="26" xfId="496" applyFont="1" applyBorder="1" applyAlignment="1">
      <alignment horizontal="center" vertical="center"/>
    </xf>
    <xf numFmtId="0" fontId="90" fillId="0" borderId="23" xfId="496" applyFont="1" applyBorder="1" applyAlignment="1">
      <alignment horizontal="center" vertical="center"/>
    </xf>
    <xf numFmtId="0" fontId="94" fillId="0" borderId="23" xfId="496" applyFont="1" applyBorder="1" applyAlignment="1">
      <alignment horizontal="center" vertical="center"/>
    </xf>
    <xf numFmtId="197" fontId="90" fillId="36" borderId="30" xfId="496" applyNumberFormat="1" applyFont="1" applyFill="1" applyBorder="1" applyAlignment="1">
      <alignment horizontal="center" vertical="center"/>
    </xf>
    <xf numFmtId="197" fontId="90" fillId="36" borderId="24" xfId="496" applyNumberFormat="1" applyFont="1" applyFill="1" applyBorder="1" applyAlignment="1">
      <alignment horizontal="center" vertical="center"/>
    </xf>
    <xf numFmtId="197" fontId="90" fillId="36" borderId="26" xfId="496" applyNumberFormat="1" applyFont="1" applyFill="1" applyBorder="1" applyAlignment="1">
      <alignment horizontal="center" vertical="center"/>
    </xf>
    <xf numFmtId="0" fontId="90" fillId="0" borderId="30" xfId="496" applyNumberFormat="1" applyFont="1" applyBorder="1" applyAlignment="1">
      <alignment horizontal="center" vertical="center"/>
    </xf>
    <xf numFmtId="0" fontId="90" fillId="0" borderId="24" xfId="496" applyNumberFormat="1" applyFont="1" applyBorder="1" applyAlignment="1">
      <alignment horizontal="center" vertical="center"/>
    </xf>
    <xf numFmtId="0" fontId="90" fillId="0" borderId="26" xfId="496" applyNumberFormat="1" applyFont="1" applyBorder="1" applyAlignment="1">
      <alignment horizontal="center" vertical="center"/>
    </xf>
    <xf numFmtId="0" fontId="10" fillId="41" borderId="0" xfId="846" applyFont="1" applyFill="1" applyAlignment="1">
      <alignment horizontal="left"/>
    </xf>
    <xf numFmtId="0" fontId="106" fillId="0" borderId="0" xfId="325" applyFont="1" applyFill="1" applyAlignment="1">
      <alignment horizontal="center" vertical="center" wrapText="1"/>
    </xf>
    <xf numFmtId="0" fontId="16" fillId="0" borderId="0" xfId="325" applyFont="1" applyFill="1" applyBorder="1" applyAlignment="1">
      <alignment horizontal="center" vertical="center" wrapText="1"/>
    </xf>
    <xf numFmtId="0" fontId="16" fillId="0" borderId="0" xfId="325" applyFont="1" applyAlignment="1">
      <alignment horizontal="center"/>
    </xf>
    <xf numFmtId="49" fontId="18" fillId="0" borderId="20" xfId="0" applyNumberFormat="1" applyFont="1" applyFill="1" applyBorder="1" applyAlignment="1">
      <alignment horizontal="center" vertical="center" wrapText="1"/>
    </xf>
    <xf numFmtId="49" fontId="18" fillId="0" borderId="21" xfId="0" applyNumberFormat="1" applyFont="1" applyFill="1" applyBorder="1" applyAlignment="1">
      <alignment horizontal="center" vertical="center" wrapText="1"/>
    </xf>
    <xf numFmtId="49" fontId="18" fillId="0" borderId="22" xfId="0" applyNumberFormat="1" applyFont="1" applyFill="1" applyBorder="1" applyAlignment="1">
      <alignment horizontal="center" vertical="center" wrapText="1"/>
    </xf>
    <xf numFmtId="49" fontId="18" fillId="0" borderId="15" xfId="0" applyNumberFormat="1" applyFont="1" applyFill="1" applyBorder="1" applyAlignment="1">
      <alignment horizontal="center" vertical="center" wrapText="1"/>
    </xf>
    <xf numFmtId="49" fontId="18" fillId="0" borderId="0" xfId="0" applyNumberFormat="1" applyFont="1" applyFill="1" applyBorder="1" applyAlignment="1">
      <alignment horizontal="center" vertical="center" wrapText="1"/>
    </xf>
    <xf numFmtId="49" fontId="18" fillId="0" borderId="14" xfId="0" applyNumberFormat="1" applyFont="1" applyFill="1" applyBorder="1" applyAlignment="1">
      <alignment horizontal="center" vertical="center" wrapText="1"/>
    </xf>
    <xf numFmtId="49" fontId="18" fillId="0" borderId="18" xfId="0" applyNumberFormat="1" applyFont="1" applyFill="1" applyBorder="1" applyAlignment="1">
      <alignment horizontal="center" vertical="center" wrapText="1"/>
    </xf>
    <xf numFmtId="49" fontId="18" fillId="0" borderId="16" xfId="0" applyNumberFormat="1" applyFont="1" applyFill="1" applyBorder="1" applyAlignment="1">
      <alignment horizontal="center" vertical="center" wrapText="1"/>
    </xf>
    <xf numFmtId="49" fontId="18" fillId="0" borderId="19" xfId="0" applyNumberFormat="1" applyFont="1" applyFill="1" applyBorder="1" applyAlignment="1">
      <alignment horizontal="center" vertical="center" wrapText="1"/>
    </xf>
    <xf numFmtId="0" fontId="10" fillId="36" borderId="30" xfId="325" applyFont="1" applyFill="1" applyBorder="1" applyAlignment="1">
      <alignment horizontal="center" vertical="center" wrapText="1"/>
    </xf>
    <xf numFmtId="0" fontId="10" fillId="36" borderId="24" xfId="325" applyFont="1" applyFill="1" applyBorder="1" applyAlignment="1">
      <alignment horizontal="center" vertical="center" wrapText="1"/>
    </xf>
    <xf numFmtId="4" fontId="10" fillId="26" borderId="0" xfId="0" applyNumberFormat="1" applyFont="1" applyFill="1" applyBorder="1" applyAlignment="1">
      <alignment horizontal="center"/>
    </xf>
    <xf numFmtId="0" fontId="9" fillId="41" borderId="30" xfId="325" applyFont="1" applyFill="1" applyBorder="1" applyAlignment="1">
      <alignment horizontal="center" vertical="center" wrapText="1"/>
    </xf>
    <xf numFmtId="0" fontId="9" fillId="41" borderId="24" xfId="325" applyFont="1" applyFill="1" applyBorder="1" applyAlignment="1">
      <alignment horizontal="center" vertical="center" wrapText="1"/>
    </xf>
    <xf numFmtId="0" fontId="9" fillId="41" borderId="26" xfId="325" applyFont="1" applyFill="1" applyBorder="1" applyAlignment="1">
      <alignment horizontal="center" vertical="center" wrapText="1"/>
    </xf>
    <xf numFmtId="0" fontId="10" fillId="36" borderId="62" xfId="325" applyFont="1" applyFill="1" applyBorder="1" applyAlignment="1">
      <alignment horizontal="center" vertical="center" wrapText="1"/>
    </xf>
    <xf numFmtId="0" fontId="106" fillId="0" borderId="37" xfId="0" applyFont="1" applyBorder="1" applyAlignment="1">
      <alignment horizontal="center" vertical="center"/>
    </xf>
    <xf numFmtId="0" fontId="106" fillId="0" borderId="38" xfId="0" applyFont="1" applyBorder="1" applyAlignment="1">
      <alignment horizontal="center" vertical="center"/>
    </xf>
    <xf numFmtId="0" fontId="106" fillId="0" borderId="39" xfId="0" applyFont="1" applyBorder="1" applyAlignment="1">
      <alignment horizontal="center" vertical="center"/>
    </xf>
    <xf numFmtId="0" fontId="92" fillId="39" borderId="34" xfId="0" applyFont="1" applyFill="1" applyBorder="1" applyAlignment="1">
      <alignment wrapText="1"/>
    </xf>
    <xf numFmtId="0" fontId="90" fillId="39" borderId="35" xfId="0" applyFont="1" applyFill="1" applyBorder="1" applyAlignment="1">
      <alignment wrapText="1"/>
    </xf>
    <xf numFmtId="0" fontId="90" fillId="39" borderId="36" xfId="0" applyFont="1" applyFill="1" applyBorder="1" applyAlignment="1">
      <alignment wrapText="1"/>
    </xf>
    <xf numFmtId="0" fontId="90" fillId="40" borderId="37" xfId="0" applyFont="1" applyFill="1" applyBorder="1" applyAlignment="1">
      <alignment horizontal="left" vertical="top" wrapText="1"/>
    </xf>
    <xf numFmtId="0" fontId="90" fillId="0" borderId="38" xfId="0" applyFont="1" applyBorder="1" applyAlignment="1">
      <alignment horizontal="left" vertical="top" wrapText="1"/>
    </xf>
    <xf numFmtId="0" fontId="90" fillId="0" borderId="39" xfId="0" applyFont="1" applyBorder="1" applyAlignment="1">
      <alignment horizontal="left" vertical="top" wrapText="1"/>
    </xf>
    <xf numFmtId="0" fontId="90" fillId="0" borderId="40" xfId="0" applyFont="1" applyBorder="1" applyAlignment="1">
      <alignment horizontal="left" vertical="top" wrapText="1"/>
    </xf>
    <xf numFmtId="0" fontId="90" fillId="0" borderId="0" xfId="0" applyFont="1" applyBorder="1" applyAlignment="1">
      <alignment horizontal="left" vertical="top" wrapText="1"/>
    </xf>
    <xf numFmtId="0" fontId="90" fillId="0" borderId="41" xfId="0" applyFont="1" applyBorder="1" applyAlignment="1">
      <alignment horizontal="left" vertical="top" wrapText="1"/>
    </xf>
    <xf numFmtId="0" fontId="90" fillId="0" borderId="42" xfId="0" applyFont="1" applyBorder="1" applyAlignment="1">
      <alignment horizontal="left" vertical="top" wrapText="1"/>
    </xf>
    <xf numFmtId="0" fontId="90" fillId="0" borderId="11" xfId="0" applyFont="1" applyBorder="1" applyAlignment="1">
      <alignment horizontal="left" vertical="top" wrapText="1"/>
    </xf>
    <xf numFmtId="0" fontId="90" fillId="0" borderId="43" xfId="0" applyFont="1" applyBorder="1" applyAlignment="1">
      <alignment horizontal="left" vertical="top" wrapText="1"/>
    </xf>
    <xf numFmtId="0" fontId="86" fillId="0" borderId="0" xfId="418" applyFont="1" applyAlignment="1">
      <alignment horizontal="left" wrapText="1"/>
    </xf>
  </cellXfs>
  <cellStyles count="12063">
    <cellStyle name="?餡_x000c_" xfId="1" xr:uid="{00000000-0005-0000-0000-000000000000}"/>
    <cellStyle name="?餡_x000c_ 2" xfId="4191" xr:uid="{00000000-0005-0000-0000-000001000000}"/>
    <cellStyle name="?餡_x000c_k?_x000d_^黇_x0001_??_x0007__x0001_" xfId="2" xr:uid="{00000000-0005-0000-0000-000002000000}"/>
    <cellStyle name="?餡_x000c_k?_x000d_^黇_x0001_??_x0007__x0001__x0001_" xfId="3" xr:uid="{00000000-0005-0000-0000-000003000000}"/>
    <cellStyle name="?餡_x000c_k?_x000d_^黇_x0001_??_x0007__x0001__x0001_ 10" xfId="426" xr:uid="{00000000-0005-0000-0000-000004000000}"/>
    <cellStyle name="?餡_x000c_k?_x000d_^黇_x0001_??_x0007__x0001__x0001_ 10 2" xfId="427" xr:uid="{00000000-0005-0000-0000-000005000000}"/>
    <cellStyle name="?餡_x000c_k?_x000d_^黇_x0001_??_x0007__x0001__x0001_ 10 2 2" xfId="522" xr:uid="{00000000-0005-0000-0000-000006000000}"/>
    <cellStyle name="?餡_x000c_k?_x000d_^黇_x0001_??_x0007__x0001__x0001_ 10 2 2 2" xfId="872" xr:uid="{00000000-0005-0000-0000-000007000000}"/>
    <cellStyle name="?餡_x000c_k?_x000d_^黇_x0001_??_x0007__x0001__x0001_ 10 2 3" xfId="778" xr:uid="{00000000-0005-0000-0000-000008000000}"/>
    <cellStyle name="?餡_x000c_k?_x000d_^黇_x0001_??_x0007__x0001__x0001_ 10 3" xfId="521" xr:uid="{00000000-0005-0000-0000-000009000000}"/>
    <cellStyle name="?餡_x000c_k?_x000d_^黇_x0001_??_x0007__x0001__x0001_ 10 3 2" xfId="871" xr:uid="{00000000-0005-0000-0000-00000A000000}"/>
    <cellStyle name="?餡_x000c_k?_x000d_^黇_x0001_??_x0007__x0001__x0001_ 10 4" xfId="777" xr:uid="{00000000-0005-0000-0000-00000B000000}"/>
    <cellStyle name="?餡_x000c_k?_x000d_^黇_x0001_??_x0007__x0001_ 2" xfId="4192" xr:uid="{00000000-0005-0000-0000-00000C000000}"/>
    <cellStyle name="?餡_x000c_k?_x000d_^黇_x0001_??_x0007__x0001__x0001_ 2 2" xfId="428" xr:uid="{00000000-0005-0000-0000-00000D000000}"/>
    <cellStyle name="?餡_x000c_k?_x000d_^黇_x0001_??_x0007__x0001__x0001_ 2 2 2" xfId="429" xr:uid="{00000000-0005-0000-0000-00000E000000}"/>
    <cellStyle name="?餡_x000c_k?_x000d_^黇_x0001_??_x0007__x0001__x0001_ 2 2 2 2" xfId="524" xr:uid="{00000000-0005-0000-0000-00000F000000}"/>
    <cellStyle name="?餡_x000c_k?_x000d_^黇_x0001_??_x0007__x0001__x0001_ 2 2 2 2 2" xfId="874" xr:uid="{00000000-0005-0000-0000-000010000000}"/>
    <cellStyle name="?餡_x000c_k?_x000d_^黇_x0001_??_x0007__x0001__x0001_ 2 2 2 3" xfId="780" xr:uid="{00000000-0005-0000-0000-000011000000}"/>
    <cellStyle name="?餡_x000c_k?_x000d_^黇_x0001_??_x0007__x0001__x0001_ 2 2 3" xfId="523" xr:uid="{00000000-0005-0000-0000-000012000000}"/>
    <cellStyle name="?餡_x000c_k?_x000d_^黇_x0001_??_x0007__x0001__x0001_ 2 2 3 2" xfId="873" xr:uid="{00000000-0005-0000-0000-000013000000}"/>
    <cellStyle name="?餡_x000c_k?_x000d_^黇_x0001_??_x0007__x0001__x0001_ 2 2 4" xfId="779" xr:uid="{00000000-0005-0000-0000-000014000000}"/>
    <cellStyle name="?餡_x000c_k?_x000d_^黇_x0001_??_x0007__x0001_ 3" xfId="4373" xr:uid="{00000000-0005-0000-0000-000015000000}"/>
    <cellStyle name="_KPI 2009 data" xfId="4" xr:uid="{00000000-0005-0000-0000-000016000000}"/>
    <cellStyle name="_KPI 2009 data 2" xfId="4193" xr:uid="{00000000-0005-0000-0000-000017000000}"/>
    <cellStyle name="_Norman's salary 2010" xfId="5" xr:uid="{00000000-0005-0000-0000-000018000000}"/>
    <cellStyle name="_Norman's salary 2010 2" xfId="4194" xr:uid="{00000000-0005-0000-0000-000019000000}"/>
    <cellStyle name="_PIT 2008 finalisation11" xfId="6" xr:uid="{00000000-0005-0000-0000-00001A000000}"/>
    <cellStyle name="_PIT 2008 finalisation11 2" xfId="4195" xr:uid="{00000000-0005-0000-0000-00001B000000}"/>
    <cellStyle name="=C:\WINDOWS\SYSTEM32\COMMAND.COM" xfId="7" xr:uid="{00000000-0005-0000-0000-00001C000000}"/>
    <cellStyle name="=C:\WINDOWS\SYSTEM32\COMMAND.COM 10" xfId="8" xr:uid="{00000000-0005-0000-0000-00001D000000}"/>
    <cellStyle name="=C:\WINDOWS\SYSTEM32\COMMAND.COM 10 2" xfId="4196" xr:uid="{00000000-0005-0000-0000-00001E000000}"/>
    <cellStyle name="=C:\WINDOWS\SYSTEM32\COMMAND.COM 2" xfId="9" xr:uid="{00000000-0005-0000-0000-00001F000000}"/>
    <cellStyle name="=C:\WINDOWS\SYSTEM32\COMMAND.COM 2 2" xfId="431" xr:uid="{00000000-0005-0000-0000-000020000000}"/>
    <cellStyle name="=C:\WINDOWS\SYSTEM32\COMMAND.COM 2 2 2" xfId="432" xr:uid="{00000000-0005-0000-0000-000021000000}"/>
    <cellStyle name="=C:\WINDOWS\SYSTEM32\COMMAND.COM 2 2 2 2" xfId="433" xr:uid="{00000000-0005-0000-0000-000022000000}"/>
    <cellStyle name="=C:\WINDOWS\SYSTEM32\COMMAND.COM 2 2 2 2 2" xfId="528" xr:uid="{00000000-0005-0000-0000-000023000000}"/>
    <cellStyle name="=C:\WINDOWS\SYSTEM32\COMMAND.COM 2 2 2 2 2 2" xfId="878" xr:uid="{00000000-0005-0000-0000-000024000000}"/>
    <cellStyle name="=C:\WINDOWS\SYSTEM32\COMMAND.COM 2 2 2 2 3" xfId="784" xr:uid="{00000000-0005-0000-0000-000025000000}"/>
    <cellStyle name="=C:\WINDOWS\SYSTEM32\COMMAND.COM 2 2 2 3" xfId="527" xr:uid="{00000000-0005-0000-0000-000026000000}"/>
    <cellStyle name="=C:\WINDOWS\SYSTEM32\COMMAND.COM 2 2 2 3 2" xfId="877" xr:uid="{00000000-0005-0000-0000-000027000000}"/>
    <cellStyle name="=C:\WINDOWS\SYSTEM32\COMMAND.COM 2 2 2 4" xfId="783" xr:uid="{00000000-0005-0000-0000-000028000000}"/>
    <cellStyle name="=C:\WINDOWS\SYSTEM32\COMMAND.COM 2 2 3" xfId="526" xr:uid="{00000000-0005-0000-0000-000029000000}"/>
    <cellStyle name="=C:\WINDOWS\SYSTEM32\COMMAND.COM 2 2 3 2" xfId="876" xr:uid="{00000000-0005-0000-0000-00002A000000}"/>
    <cellStyle name="=C:\WINDOWS\SYSTEM32\COMMAND.COM 2 2 4" xfId="782" xr:uid="{00000000-0005-0000-0000-00002B000000}"/>
    <cellStyle name="=C:\WINDOWS\SYSTEM32\COMMAND.COM 2 3" xfId="525" xr:uid="{00000000-0005-0000-0000-00002C000000}"/>
    <cellStyle name="=C:\WINDOWS\SYSTEM32\COMMAND.COM 2 3 2" xfId="875" xr:uid="{00000000-0005-0000-0000-00002D000000}"/>
    <cellStyle name="=C:\WINDOWS\SYSTEM32\COMMAND.COM 2 4" xfId="781" xr:uid="{00000000-0005-0000-0000-00002E000000}"/>
    <cellStyle name="=C:\WINDOWS\SYSTEM32\COMMAND.COM 2 5" xfId="430" xr:uid="{00000000-0005-0000-0000-00002F000000}"/>
    <cellStyle name="=C:\WINDOWS\SYSTEM32\COMMAND.COM 3" xfId="434" xr:uid="{00000000-0005-0000-0000-000030000000}"/>
    <cellStyle name="=C:\WINDOWS\SYSTEM32\COMMAND.COM 3 2" xfId="435" xr:uid="{00000000-0005-0000-0000-000031000000}"/>
    <cellStyle name="=C:\WINDOWS\SYSTEM32\COMMAND.COM 3 2 2" xfId="530" xr:uid="{00000000-0005-0000-0000-000032000000}"/>
    <cellStyle name="=C:\WINDOWS\SYSTEM32\COMMAND.COM 3 2 2 2" xfId="880" xr:uid="{00000000-0005-0000-0000-000033000000}"/>
    <cellStyle name="=C:\WINDOWS\SYSTEM32\COMMAND.COM 3 2 3" xfId="786" xr:uid="{00000000-0005-0000-0000-000034000000}"/>
    <cellStyle name="=C:\WINDOWS\SYSTEM32\COMMAND.COM 3 3" xfId="529" xr:uid="{00000000-0005-0000-0000-000035000000}"/>
    <cellStyle name="=C:\WINDOWS\SYSTEM32\COMMAND.COM 3 3 2" xfId="879" xr:uid="{00000000-0005-0000-0000-000036000000}"/>
    <cellStyle name="=C:\WINDOWS\SYSTEM32\COMMAND.COM 3 4" xfId="785" xr:uid="{00000000-0005-0000-0000-000037000000}"/>
    <cellStyle name="20% - Accent1 2" xfId="10" xr:uid="{00000000-0005-0000-0000-000038000000}"/>
    <cellStyle name="20% - Accent2 2" xfId="11" xr:uid="{00000000-0005-0000-0000-000039000000}"/>
    <cellStyle name="20% - Accent3 2" xfId="12" xr:uid="{00000000-0005-0000-0000-00003A000000}"/>
    <cellStyle name="20% - Accent4 2" xfId="13" xr:uid="{00000000-0005-0000-0000-00003B000000}"/>
    <cellStyle name="20% - Accent5 2" xfId="14" xr:uid="{00000000-0005-0000-0000-00003C000000}"/>
    <cellStyle name="20% - Accent6 2" xfId="15" xr:uid="{00000000-0005-0000-0000-00003D000000}"/>
    <cellStyle name="32B12" xfId="16" xr:uid="{00000000-0005-0000-0000-00003E000000}"/>
    <cellStyle name="32B12 2" xfId="17" xr:uid="{00000000-0005-0000-0000-00003F000000}"/>
    <cellStyle name="32B12 2 2" xfId="18" xr:uid="{00000000-0005-0000-0000-000040000000}"/>
    <cellStyle name="32B12 2 2 2" xfId="4199" xr:uid="{00000000-0005-0000-0000-000041000000}"/>
    <cellStyle name="32B12 2 3" xfId="4198" xr:uid="{00000000-0005-0000-0000-000042000000}"/>
    <cellStyle name="32B12 3" xfId="19" xr:uid="{00000000-0005-0000-0000-000043000000}"/>
    <cellStyle name="32B12 3 2" xfId="4200" xr:uid="{00000000-0005-0000-0000-000044000000}"/>
    <cellStyle name="32B12 4" xfId="20" xr:uid="{00000000-0005-0000-0000-000045000000}"/>
    <cellStyle name="32B12 4 2" xfId="4201" xr:uid="{00000000-0005-0000-0000-000046000000}"/>
    <cellStyle name="32B12 5" xfId="4197" xr:uid="{00000000-0005-0000-0000-000047000000}"/>
    <cellStyle name="40% - Accent1 2" xfId="21" xr:uid="{00000000-0005-0000-0000-000048000000}"/>
    <cellStyle name="40% - Accent2 2" xfId="22" xr:uid="{00000000-0005-0000-0000-000049000000}"/>
    <cellStyle name="40% - Accent3 2" xfId="23" xr:uid="{00000000-0005-0000-0000-00004A000000}"/>
    <cellStyle name="40% - Accent4 2" xfId="24" xr:uid="{00000000-0005-0000-0000-00004B000000}"/>
    <cellStyle name="40% - Accent5 2" xfId="25" xr:uid="{00000000-0005-0000-0000-00004C000000}"/>
    <cellStyle name="40% - Accent6 2" xfId="26" xr:uid="{00000000-0005-0000-0000-00004D000000}"/>
    <cellStyle name="60% - Accent1 2" xfId="27" xr:uid="{00000000-0005-0000-0000-00004E000000}"/>
    <cellStyle name="60% - Accent2 2" xfId="28" xr:uid="{00000000-0005-0000-0000-00004F000000}"/>
    <cellStyle name="60% - Accent3 2" xfId="29" xr:uid="{00000000-0005-0000-0000-000050000000}"/>
    <cellStyle name="60% - Accent4 2" xfId="30" xr:uid="{00000000-0005-0000-0000-000051000000}"/>
    <cellStyle name="60% - Accent5 2" xfId="31" xr:uid="{00000000-0005-0000-0000-000052000000}"/>
    <cellStyle name="60% - Accent6 2" xfId="32" xr:uid="{00000000-0005-0000-0000-000053000000}"/>
    <cellStyle name="Accent1 2" xfId="33" xr:uid="{00000000-0005-0000-0000-000054000000}"/>
    <cellStyle name="Accent2 2" xfId="34" xr:uid="{00000000-0005-0000-0000-000055000000}"/>
    <cellStyle name="Accent3 2" xfId="35" xr:uid="{00000000-0005-0000-0000-000056000000}"/>
    <cellStyle name="Accent4 2" xfId="36" xr:uid="{00000000-0005-0000-0000-000057000000}"/>
    <cellStyle name="Accent5 2" xfId="37" xr:uid="{00000000-0005-0000-0000-000058000000}"/>
    <cellStyle name="Accent6 2" xfId="38" xr:uid="{00000000-0005-0000-0000-000059000000}"/>
    <cellStyle name="AeE­ [0]_INQUIRY ¿μ¾÷AßAø " xfId="39" xr:uid="{00000000-0005-0000-0000-00005A000000}"/>
    <cellStyle name="AeE­_INQUIRY ¿μ¾÷AßAø " xfId="40" xr:uid="{00000000-0005-0000-0000-00005B000000}"/>
    <cellStyle name="AÞ¸¶ [0]_INQUIRY ¿?¾÷AßAø " xfId="41" xr:uid="{00000000-0005-0000-0000-00005C000000}"/>
    <cellStyle name="AÞ¸¶_INQUIRY ¿?¾÷AßAø " xfId="42" xr:uid="{00000000-0005-0000-0000-00005D000000}"/>
    <cellStyle name="Bad 2" xfId="43" xr:uid="{00000000-0005-0000-0000-00005E000000}"/>
    <cellStyle name="C?AØ_¿?¾÷CoE² " xfId="44" xr:uid="{00000000-0005-0000-0000-00005F000000}"/>
    <cellStyle name="C￥AØ_¿μ¾÷CoE² " xfId="45" xr:uid="{00000000-0005-0000-0000-000060000000}"/>
    <cellStyle name="Calculation 2" xfId="46" xr:uid="{00000000-0005-0000-0000-000061000000}"/>
    <cellStyle name="Check Cell 2" xfId="47" xr:uid="{00000000-0005-0000-0000-000062000000}"/>
    <cellStyle name="Comma 10" xfId="48" xr:uid="{00000000-0005-0000-0000-000063000000}"/>
    <cellStyle name="Comma 10 2" xfId="4202" xr:uid="{00000000-0005-0000-0000-000064000000}"/>
    <cellStyle name="Comma 11" xfId="49" xr:uid="{00000000-0005-0000-0000-000065000000}"/>
    <cellStyle name="Comma 11 2" xfId="50" xr:uid="{00000000-0005-0000-0000-000066000000}"/>
    <cellStyle name="Comma 12" xfId="51" xr:uid="{00000000-0005-0000-0000-000067000000}"/>
    <cellStyle name="Comma 12 2" xfId="4203" xr:uid="{00000000-0005-0000-0000-000068000000}"/>
    <cellStyle name="Comma 2" xfId="52" xr:uid="{00000000-0005-0000-0000-000069000000}"/>
    <cellStyle name="Comma 2 10" xfId="53" xr:uid="{00000000-0005-0000-0000-00006A000000}"/>
    <cellStyle name="Comma 2 10 2" xfId="4205" xr:uid="{00000000-0005-0000-0000-00006B000000}"/>
    <cellStyle name="Comma 2 2" xfId="54" xr:uid="{00000000-0005-0000-0000-00006C000000}"/>
    <cellStyle name="Comma 2 2 2" xfId="55" xr:uid="{00000000-0005-0000-0000-00006D000000}"/>
    <cellStyle name="Comma 2 2 2 2" xfId="882" xr:uid="{00000000-0005-0000-0000-00006E000000}"/>
    <cellStyle name="Comma 2 2 2 3" xfId="532" xr:uid="{00000000-0005-0000-0000-00006F000000}"/>
    <cellStyle name="Comma 2 2 3" xfId="56" xr:uid="{00000000-0005-0000-0000-000070000000}"/>
    <cellStyle name="Comma 2 2 3 2" xfId="788" xr:uid="{00000000-0005-0000-0000-000071000000}"/>
    <cellStyle name="Comma 2 2 4" xfId="437" xr:uid="{00000000-0005-0000-0000-000072000000}"/>
    <cellStyle name="Comma 2 3" xfId="57" xr:uid="{00000000-0005-0000-0000-000073000000}"/>
    <cellStyle name="Comma 2 3 2" xfId="881" xr:uid="{00000000-0005-0000-0000-000074000000}"/>
    <cellStyle name="Comma 2 3 3" xfId="531" xr:uid="{00000000-0005-0000-0000-000075000000}"/>
    <cellStyle name="Comma 2 4" xfId="58" xr:uid="{00000000-0005-0000-0000-000076000000}"/>
    <cellStyle name="Comma 2 4 2" xfId="787" xr:uid="{00000000-0005-0000-0000-000077000000}"/>
    <cellStyle name="Comma 2 5" xfId="59" xr:uid="{00000000-0005-0000-0000-000078000000}"/>
    <cellStyle name="Comma 2 5 2" xfId="4206" xr:uid="{00000000-0005-0000-0000-000079000000}"/>
    <cellStyle name="Comma 2 6" xfId="436" xr:uid="{00000000-0005-0000-0000-00007A000000}"/>
    <cellStyle name="Comma 2 7" xfId="4204" xr:uid="{00000000-0005-0000-0000-00007B000000}"/>
    <cellStyle name="Comma 3" xfId="60" xr:uid="{00000000-0005-0000-0000-00007C000000}"/>
    <cellStyle name="Comma 3 2" xfId="61" xr:uid="{00000000-0005-0000-0000-00007D000000}"/>
    <cellStyle name="Comma 3 2 2" xfId="62" xr:uid="{00000000-0005-0000-0000-00007E000000}"/>
    <cellStyle name="Comma 3 2 2 2" xfId="4209" xr:uid="{00000000-0005-0000-0000-00007F000000}"/>
    <cellStyle name="Comma 3 2 3" xfId="4208" xr:uid="{00000000-0005-0000-0000-000080000000}"/>
    <cellStyle name="Comma 3 3" xfId="63" xr:uid="{00000000-0005-0000-0000-000081000000}"/>
    <cellStyle name="Comma 3 4" xfId="4207" xr:uid="{00000000-0005-0000-0000-000082000000}"/>
    <cellStyle name="Comma 4" xfId="64" xr:uid="{00000000-0005-0000-0000-000083000000}"/>
    <cellStyle name="Comma 4 2" xfId="65" xr:uid="{00000000-0005-0000-0000-000084000000}"/>
    <cellStyle name="Comma 4 2 2" xfId="4211" xr:uid="{00000000-0005-0000-0000-000085000000}"/>
    <cellStyle name="Comma 4 3" xfId="66" xr:uid="{00000000-0005-0000-0000-000086000000}"/>
    <cellStyle name="Comma 4 4" xfId="4210" xr:uid="{00000000-0005-0000-0000-000087000000}"/>
    <cellStyle name="Comma 5" xfId="67" xr:uid="{00000000-0005-0000-0000-000088000000}"/>
    <cellStyle name="Comma 5 2" xfId="68" xr:uid="{00000000-0005-0000-0000-000089000000}"/>
    <cellStyle name="Comma 5 3" xfId="69" xr:uid="{00000000-0005-0000-0000-00008A000000}"/>
    <cellStyle name="Comma 5 4" xfId="70" xr:uid="{00000000-0005-0000-0000-00008B000000}"/>
    <cellStyle name="Comma 6" xfId="71" xr:uid="{00000000-0005-0000-0000-00008C000000}"/>
    <cellStyle name="Comma 6 2" xfId="72" xr:uid="{00000000-0005-0000-0000-00008D000000}"/>
    <cellStyle name="Comma 6 3" xfId="73" xr:uid="{00000000-0005-0000-0000-00008E000000}"/>
    <cellStyle name="Comma 6 4" xfId="4212" xr:uid="{00000000-0005-0000-0000-00008F000000}"/>
    <cellStyle name="Comma 7" xfId="74" xr:uid="{00000000-0005-0000-0000-000090000000}"/>
    <cellStyle name="Comma 7 2" xfId="75" xr:uid="{00000000-0005-0000-0000-000091000000}"/>
    <cellStyle name="Comma 7 2 2" xfId="76" xr:uid="{00000000-0005-0000-0000-000092000000}"/>
    <cellStyle name="Comma 7 2 2 2" xfId="4215" xr:uid="{00000000-0005-0000-0000-000093000000}"/>
    <cellStyle name="Comma 7 2 3" xfId="77" xr:uid="{00000000-0005-0000-0000-000094000000}"/>
    <cellStyle name="Comma 7 2 4" xfId="4214" xr:uid="{00000000-0005-0000-0000-000095000000}"/>
    <cellStyle name="Comma 7 3" xfId="78" xr:uid="{00000000-0005-0000-0000-000096000000}"/>
    <cellStyle name="Comma 7 4" xfId="4213" xr:uid="{00000000-0005-0000-0000-000097000000}"/>
    <cellStyle name="Comma 8" xfId="79" xr:uid="{00000000-0005-0000-0000-000098000000}"/>
    <cellStyle name="Comma 8 2" xfId="80" xr:uid="{00000000-0005-0000-0000-000099000000}"/>
    <cellStyle name="Comma 8 2 2" xfId="81" xr:uid="{00000000-0005-0000-0000-00009A000000}"/>
    <cellStyle name="Comma 8 2 3" xfId="4217" xr:uid="{00000000-0005-0000-0000-00009B000000}"/>
    <cellStyle name="Comma 8 3" xfId="82" xr:uid="{00000000-0005-0000-0000-00009C000000}"/>
    <cellStyle name="Comma 8 4" xfId="4216" xr:uid="{00000000-0005-0000-0000-00009D000000}"/>
    <cellStyle name="Comma 9" xfId="83" xr:uid="{00000000-0005-0000-0000-00009E000000}"/>
    <cellStyle name="Comma 9 2" xfId="84" xr:uid="{00000000-0005-0000-0000-00009F000000}"/>
    <cellStyle name="Comma0" xfId="85" xr:uid="{00000000-0005-0000-0000-0000A0000000}"/>
    <cellStyle name="Comma0 2" xfId="86" xr:uid="{00000000-0005-0000-0000-0000A1000000}"/>
    <cellStyle name="Comma0 2 2" xfId="4219" xr:uid="{00000000-0005-0000-0000-0000A2000000}"/>
    <cellStyle name="Comma0 3" xfId="4218" xr:uid="{00000000-0005-0000-0000-0000A3000000}"/>
    <cellStyle name="Currency 2" xfId="87" xr:uid="{00000000-0005-0000-0000-0000A4000000}"/>
    <cellStyle name="Currency 2 2" xfId="4220" xr:uid="{00000000-0005-0000-0000-0000A5000000}"/>
    <cellStyle name="Currency0" xfId="88" xr:uid="{00000000-0005-0000-0000-0000A6000000}"/>
    <cellStyle name="Currency0 2" xfId="89" xr:uid="{00000000-0005-0000-0000-0000A7000000}"/>
    <cellStyle name="Currency0 2 2" xfId="4222" xr:uid="{00000000-0005-0000-0000-0000A8000000}"/>
    <cellStyle name="Currency0 3" xfId="4221" xr:uid="{00000000-0005-0000-0000-0000A9000000}"/>
    <cellStyle name="Date" xfId="90" xr:uid="{00000000-0005-0000-0000-0000AA000000}"/>
    <cellStyle name="Date 2" xfId="91" xr:uid="{00000000-0005-0000-0000-0000AB000000}"/>
    <cellStyle name="Date 2 2" xfId="4224" xr:uid="{00000000-0005-0000-0000-0000AC000000}"/>
    <cellStyle name="Date 3" xfId="4223" xr:uid="{00000000-0005-0000-0000-0000AD000000}"/>
    <cellStyle name="Euro" xfId="92" xr:uid="{00000000-0005-0000-0000-0000AE000000}"/>
    <cellStyle name="Euro 2" xfId="93" xr:uid="{00000000-0005-0000-0000-0000AF000000}"/>
    <cellStyle name="Euro 2 2" xfId="533" xr:uid="{00000000-0005-0000-0000-0000B0000000}"/>
    <cellStyle name="Euro 2 2 2" xfId="883" xr:uid="{00000000-0005-0000-0000-0000B1000000}"/>
    <cellStyle name="Euro 2 3" xfId="789" xr:uid="{00000000-0005-0000-0000-0000B2000000}"/>
    <cellStyle name="Euro 2 4" xfId="438" xr:uid="{00000000-0005-0000-0000-0000B3000000}"/>
    <cellStyle name="Euro 3" xfId="94" xr:uid="{00000000-0005-0000-0000-0000B4000000}"/>
    <cellStyle name="Euro 3 2" xfId="554" xr:uid="{00000000-0005-0000-0000-0000B5000000}"/>
    <cellStyle name="Euro 3 2 2" xfId="904" xr:uid="{00000000-0005-0000-0000-0000B6000000}"/>
    <cellStyle name="Euro 3 3" xfId="847" xr:uid="{00000000-0005-0000-0000-0000B7000000}"/>
    <cellStyle name="Euro 3 4" xfId="497" xr:uid="{00000000-0005-0000-0000-0000B8000000}"/>
    <cellStyle name="Euro 4" xfId="421" xr:uid="{00000000-0005-0000-0000-0000B9000000}"/>
    <cellStyle name="Euro 4 2" xfId="1123" xr:uid="{00000000-0005-0000-0000-0000BA000000}"/>
    <cellStyle name="Explanatory Text 2" xfId="95" xr:uid="{00000000-0005-0000-0000-0000BB000000}"/>
    <cellStyle name="Fixed" xfId="96" xr:uid="{00000000-0005-0000-0000-0000BC000000}"/>
    <cellStyle name="Fixed 2" xfId="97" xr:uid="{00000000-0005-0000-0000-0000BD000000}"/>
    <cellStyle name="Fixed 2 2" xfId="4226" xr:uid="{00000000-0005-0000-0000-0000BE000000}"/>
    <cellStyle name="Fixed 3" xfId="4225" xr:uid="{00000000-0005-0000-0000-0000BF000000}"/>
    <cellStyle name="Good 2" xfId="98" xr:uid="{00000000-0005-0000-0000-0000C0000000}"/>
    <cellStyle name="Header1" xfId="99" xr:uid="{00000000-0005-0000-0000-0000C1000000}"/>
    <cellStyle name="Header2" xfId="100" xr:uid="{00000000-0005-0000-0000-0000C2000000}"/>
    <cellStyle name="Heading 1 2" xfId="101" xr:uid="{00000000-0005-0000-0000-0000C3000000}"/>
    <cellStyle name="Heading 2 2" xfId="102" xr:uid="{00000000-0005-0000-0000-0000C4000000}"/>
    <cellStyle name="Heading 2 2 2" xfId="419" xr:uid="{00000000-0005-0000-0000-0000C5000000}"/>
    <cellStyle name="Heading 3 2" xfId="103" xr:uid="{00000000-0005-0000-0000-0000C6000000}"/>
    <cellStyle name="Heading 4 2" xfId="104" xr:uid="{00000000-0005-0000-0000-0000C7000000}"/>
    <cellStyle name="Hyperlink 2" xfId="105" xr:uid="{00000000-0005-0000-0000-0000C8000000}"/>
    <cellStyle name="Input 2" xfId="106" xr:uid="{00000000-0005-0000-0000-0000C9000000}"/>
    <cellStyle name="Linked Cell 2" xfId="107" xr:uid="{00000000-0005-0000-0000-0000CA000000}"/>
    <cellStyle name="Neutral 2" xfId="108" xr:uid="{00000000-0005-0000-0000-0000CB000000}"/>
    <cellStyle name="Normal" xfId="0" builtinId="0"/>
    <cellStyle name="Normal - Style1" xfId="109" xr:uid="{00000000-0005-0000-0000-0000CD000000}"/>
    <cellStyle name="Normal - Style1 2" xfId="110" xr:uid="{00000000-0005-0000-0000-0000CE000000}"/>
    <cellStyle name="Normal 10" xfId="111" xr:uid="{00000000-0005-0000-0000-0000CF000000}"/>
    <cellStyle name="Normal 10 2" xfId="112" xr:uid="{00000000-0005-0000-0000-0000D0000000}"/>
    <cellStyle name="Normal 10 2 2" xfId="113" xr:uid="{00000000-0005-0000-0000-0000D1000000}"/>
    <cellStyle name="Normal 10 2 2 2" xfId="846" xr:uid="{00000000-0005-0000-0000-0000D2000000}"/>
    <cellStyle name="Normal 10 2 3" xfId="496" xr:uid="{00000000-0005-0000-0000-0000D3000000}"/>
    <cellStyle name="Normal 10 3" xfId="114" xr:uid="{00000000-0005-0000-0000-0000D4000000}"/>
    <cellStyle name="Normal 10 4" xfId="772" xr:uid="{00000000-0005-0000-0000-0000D5000000}"/>
    <cellStyle name="Normal 10 5" xfId="4227" xr:uid="{00000000-0005-0000-0000-0000D6000000}"/>
    <cellStyle name="Normal 11" xfId="115" xr:uid="{00000000-0005-0000-0000-0000D7000000}"/>
    <cellStyle name="Normal 11 2" xfId="116" xr:uid="{00000000-0005-0000-0000-0000D8000000}"/>
    <cellStyle name="Normal 11 3" xfId="117" xr:uid="{00000000-0005-0000-0000-0000D9000000}"/>
    <cellStyle name="Normal 11 4" xfId="4228" xr:uid="{00000000-0005-0000-0000-0000DA000000}"/>
    <cellStyle name="Normal 12" xfId="118" xr:uid="{00000000-0005-0000-0000-0000DB000000}"/>
    <cellStyle name="Normal 12 2" xfId="119" xr:uid="{00000000-0005-0000-0000-0000DC000000}"/>
    <cellStyle name="Normal 12 3" xfId="120" xr:uid="{00000000-0005-0000-0000-0000DD000000}"/>
    <cellStyle name="Normal 13" xfId="121" xr:uid="{00000000-0005-0000-0000-0000DE000000}"/>
    <cellStyle name="Normal 13 2" xfId="122" xr:uid="{00000000-0005-0000-0000-0000DF000000}"/>
    <cellStyle name="Normal 13 3" xfId="123" xr:uid="{00000000-0005-0000-0000-0000E0000000}"/>
    <cellStyle name="Normal 14" xfId="124" xr:uid="{00000000-0005-0000-0000-0000E1000000}"/>
    <cellStyle name="Normal 14 2" xfId="125" xr:uid="{00000000-0005-0000-0000-0000E2000000}"/>
    <cellStyle name="Normal 14 3" xfId="126" xr:uid="{00000000-0005-0000-0000-0000E3000000}"/>
    <cellStyle name="Normal 15" xfId="127" xr:uid="{00000000-0005-0000-0000-0000E4000000}"/>
    <cellStyle name="Normal 15 2" xfId="128" xr:uid="{00000000-0005-0000-0000-0000E5000000}"/>
    <cellStyle name="Normal 15 3" xfId="129" xr:uid="{00000000-0005-0000-0000-0000E6000000}"/>
    <cellStyle name="Normal 16" xfId="130" xr:uid="{00000000-0005-0000-0000-0000E7000000}"/>
    <cellStyle name="Normal 16 2" xfId="131" xr:uid="{00000000-0005-0000-0000-0000E8000000}"/>
    <cellStyle name="Normal 16 3" xfId="132" xr:uid="{00000000-0005-0000-0000-0000E9000000}"/>
    <cellStyle name="Normal 17" xfId="133" xr:uid="{00000000-0005-0000-0000-0000EA000000}"/>
    <cellStyle name="Normal 17 2" xfId="134" xr:uid="{00000000-0005-0000-0000-0000EB000000}"/>
    <cellStyle name="Normal 17 3" xfId="135" xr:uid="{00000000-0005-0000-0000-0000EC000000}"/>
    <cellStyle name="Normal 18" xfId="136" xr:uid="{00000000-0005-0000-0000-0000ED000000}"/>
    <cellStyle name="Normal 18 2" xfId="137" xr:uid="{00000000-0005-0000-0000-0000EE000000}"/>
    <cellStyle name="Normal 18 3" xfId="138" xr:uid="{00000000-0005-0000-0000-0000EF000000}"/>
    <cellStyle name="Normal 19" xfId="139" xr:uid="{00000000-0005-0000-0000-0000F0000000}"/>
    <cellStyle name="Normal 19 2" xfId="140" xr:uid="{00000000-0005-0000-0000-0000F1000000}"/>
    <cellStyle name="Normal 19 3" xfId="141" xr:uid="{00000000-0005-0000-0000-0000F2000000}"/>
    <cellStyle name="Normal 2" xfId="142" xr:uid="{00000000-0005-0000-0000-0000F3000000}"/>
    <cellStyle name="Normal 2 10" xfId="143" xr:uid="{00000000-0005-0000-0000-0000F4000000}"/>
    <cellStyle name="Normal 2 10 2" xfId="4229" xr:uid="{00000000-0005-0000-0000-0000F5000000}"/>
    <cellStyle name="Normal 2 11" xfId="144" xr:uid="{00000000-0005-0000-0000-0000F6000000}"/>
    <cellStyle name="Normal 2 11 2" xfId="4230" xr:uid="{00000000-0005-0000-0000-0000F7000000}"/>
    <cellStyle name="Normal 2 12" xfId="145" xr:uid="{00000000-0005-0000-0000-0000F8000000}"/>
    <cellStyle name="Normal 2 12 2" xfId="4231" xr:uid="{00000000-0005-0000-0000-0000F9000000}"/>
    <cellStyle name="Normal 2 13" xfId="146" xr:uid="{00000000-0005-0000-0000-0000FA000000}"/>
    <cellStyle name="Normal 2 13 2" xfId="4232" xr:uid="{00000000-0005-0000-0000-0000FB000000}"/>
    <cellStyle name="Normal 2 14" xfId="147" xr:uid="{00000000-0005-0000-0000-0000FC000000}"/>
    <cellStyle name="Normal 2 14 2" xfId="4233" xr:uid="{00000000-0005-0000-0000-0000FD000000}"/>
    <cellStyle name="Normal 2 15" xfId="148" xr:uid="{00000000-0005-0000-0000-0000FE000000}"/>
    <cellStyle name="Normal 2 15 2" xfId="4234" xr:uid="{00000000-0005-0000-0000-0000FF000000}"/>
    <cellStyle name="Normal 2 16" xfId="149" xr:uid="{00000000-0005-0000-0000-000000010000}"/>
    <cellStyle name="Normal 2 16 2" xfId="4235" xr:uid="{00000000-0005-0000-0000-000001010000}"/>
    <cellStyle name="Normal 2 17" xfId="150" xr:uid="{00000000-0005-0000-0000-000002010000}"/>
    <cellStyle name="Normal 2 17 2" xfId="4236" xr:uid="{00000000-0005-0000-0000-000003010000}"/>
    <cellStyle name="Normal 2 18" xfId="151" xr:uid="{00000000-0005-0000-0000-000004010000}"/>
    <cellStyle name="Normal 2 18 2" xfId="4237" xr:uid="{00000000-0005-0000-0000-000005010000}"/>
    <cellStyle name="Normal 2 19" xfId="152" xr:uid="{00000000-0005-0000-0000-000006010000}"/>
    <cellStyle name="Normal 2 19 2" xfId="4238" xr:uid="{00000000-0005-0000-0000-000007010000}"/>
    <cellStyle name="Normal 2 2" xfId="153" xr:uid="{00000000-0005-0000-0000-000008010000}"/>
    <cellStyle name="Normal 2 2 2" xfId="154" xr:uid="{00000000-0005-0000-0000-000009010000}"/>
    <cellStyle name="Normal 2 2 2 2" xfId="534" xr:uid="{00000000-0005-0000-0000-00000A010000}"/>
    <cellStyle name="Normal 2 2 2 2 2" xfId="884" xr:uid="{00000000-0005-0000-0000-00000B010000}"/>
    <cellStyle name="Normal 2 2 2 3" xfId="790" xr:uid="{00000000-0005-0000-0000-00000C010000}"/>
    <cellStyle name="Normal 2 2 2 4" xfId="439" xr:uid="{00000000-0005-0000-0000-00000D010000}"/>
    <cellStyle name="Normal 2 2 3" xfId="155" xr:uid="{00000000-0005-0000-0000-00000E010000}"/>
    <cellStyle name="Normal 2 2 3 2" xfId="553" xr:uid="{00000000-0005-0000-0000-00000F010000}"/>
    <cellStyle name="Normal 2 2 3 2 2" xfId="903" xr:uid="{00000000-0005-0000-0000-000010010000}"/>
    <cellStyle name="Normal 2 2 3 3" xfId="809" xr:uid="{00000000-0005-0000-0000-000011010000}"/>
    <cellStyle name="Normal 2 2 3 4" xfId="459" xr:uid="{00000000-0005-0000-0000-000012010000}"/>
    <cellStyle name="Normal 2 2 4" xfId="517" xr:uid="{00000000-0005-0000-0000-000013010000}"/>
    <cellStyle name="Normal 2 2 4 2" xfId="867" xr:uid="{00000000-0005-0000-0000-000014010000}"/>
    <cellStyle name="Normal 2 2 5" xfId="773" xr:uid="{00000000-0005-0000-0000-000015010000}"/>
    <cellStyle name="Normal 2 2 6" xfId="422" xr:uid="{00000000-0005-0000-0000-000016010000}"/>
    <cellStyle name="Normal 2 20" xfId="156" xr:uid="{00000000-0005-0000-0000-000017010000}"/>
    <cellStyle name="Normal 2 20 2" xfId="4239" xr:uid="{00000000-0005-0000-0000-000018010000}"/>
    <cellStyle name="Normal 2 21" xfId="157" xr:uid="{00000000-0005-0000-0000-000019010000}"/>
    <cellStyle name="Normal 2 21 2" xfId="4240" xr:uid="{00000000-0005-0000-0000-00001A010000}"/>
    <cellStyle name="Normal 2 22" xfId="158" xr:uid="{00000000-0005-0000-0000-00001B010000}"/>
    <cellStyle name="Normal 2 22 2" xfId="4241" xr:uid="{00000000-0005-0000-0000-00001C010000}"/>
    <cellStyle name="Normal 2 23" xfId="159" xr:uid="{00000000-0005-0000-0000-00001D010000}"/>
    <cellStyle name="Normal 2 23 2" xfId="4242" xr:uid="{00000000-0005-0000-0000-00001E010000}"/>
    <cellStyle name="Normal 2 24" xfId="160" xr:uid="{00000000-0005-0000-0000-00001F010000}"/>
    <cellStyle name="Normal 2 24 2" xfId="4243" xr:uid="{00000000-0005-0000-0000-000020010000}"/>
    <cellStyle name="Normal 2 25" xfId="161" xr:uid="{00000000-0005-0000-0000-000021010000}"/>
    <cellStyle name="Normal 2 25 2" xfId="4244" xr:uid="{00000000-0005-0000-0000-000022010000}"/>
    <cellStyle name="Normal 2 26" xfId="162" xr:uid="{00000000-0005-0000-0000-000023010000}"/>
    <cellStyle name="Normal 2 26 2" xfId="4245" xr:uid="{00000000-0005-0000-0000-000024010000}"/>
    <cellStyle name="Normal 2 27" xfId="163" xr:uid="{00000000-0005-0000-0000-000025010000}"/>
    <cellStyle name="Normal 2 27 2" xfId="4246" xr:uid="{00000000-0005-0000-0000-000026010000}"/>
    <cellStyle name="Normal 2 28" xfId="164" xr:uid="{00000000-0005-0000-0000-000027010000}"/>
    <cellStyle name="Normal 2 28 2" xfId="4247" xr:uid="{00000000-0005-0000-0000-000028010000}"/>
    <cellStyle name="Normal 2 29" xfId="165" xr:uid="{00000000-0005-0000-0000-000029010000}"/>
    <cellStyle name="Normal 2 29 2" xfId="4248" xr:uid="{00000000-0005-0000-0000-00002A010000}"/>
    <cellStyle name="Normal 2 3" xfId="166" xr:uid="{00000000-0005-0000-0000-00002B010000}"/>
    <cellStyle name="Normal 2 3 10" xfId="791" xr:uid="{00000000-0005-0000-0000-00002C010000}"/>
    <cellStyle name="Normal 2 3 10 2" xfId="1431" xr:uid="{00000000-0005-0000-0000-00002D010000}"/>
    <cellStyle name="Normal 2 3 10 2 2" xfId="2657" xr:uid="{00000000-0005-0000-0000-00002E010000}"/>
    <cellStyle name="Normal 2 3 10 2 2 2" xfId="6517" xr:uid="{00000000-0005-0000-0000-00002F010000}"/>
    <cellStyle name="Normal 2 3 10 2 2 3" xfId="11469" xr:uid="{00000000-0005-0000-0000-000030010000}"/>
    <cellStyle name="Normal 2 3 10 2 3" xfId="3885" xr:uid="{00000000-0005-0000-0000-000031010000}"/>
    <cellStyle name="Normal 2 3 10 2 3 2" xfId="7741" xr:uid="{00000000-0005-0000-0000-000032010000}"/>
    <cellStyle name="Normal 2 3 10 2 3 3" xfId="10227" xr:uid="{00000000-0005-0000-0000-000033010000}"/>
    <cellStyle name="Normal 2 3 10 2 4" xfId="5293" xr:uid="{00000000-0005-0000-0000-000034010000}"/>
    <cellStyle name="Normal 2 3 10 2 5" xfId="8985" xr:uid="{00000000-0005-0000-0000-000035010000}"/>
    <cellStyle name="Normal 2 3 10 3" xfId="2045" xr:uid="{00000000-0005-0000-0000-000036010000}"/>
    <cellStyle name="Normal 2 3 10 3 2" xfId="5905" xr:uid="{00000000-0005-0000-0000-000037010000}"/>
    <cellStyle name="Normal 2 3 10 3 3" xfId="10839" xr:uid="{00000000-0005-0000-0000-000038010000}"/>
    <cellStyle name="Normal 2 3 10 4" xfId="3273" xr:uid="{00000000-0005-0000-0000-000039010000}"/>
    <cellStyle name="Normal 2 3 10 4 2" xfId="7129" xr:uid="{00000000-0005-0000-0000-00003A010000}"/>
    <cellStyle name="Normal 2 3 10 4 3" xfId="9597" xr:uid="{00000000-0005-0000-0000-00003B010000}"/>
    <cellStyle name="Normal 2 3 10 5" xfId="4681" xr:uid="{00000000-0005-0000-0000-00003C010000}"/>
    <cellStyle name="Normal 2 3 10 6" xfId="8354" xr:uid="{00000000-0005-0000-0000-00003D010000}"/>
    <cellStyle name="Normal 2 3 11" xfId="1125" xr:uid="{00000000-0005-0000-0000-00003E010000}"/>
    <cellStyle name="Normal 2 3 11 2" xfId="2351" xr:uid="{00000000-0005-0000-0000-00003F010000}"/>
    <cellStyle name="Normal 2 3 11 2 2" xfId="6211" xr:uid="{00000000-0005-0000-0000-000040010000}"/>
    <cellStyle name="Normal 2 3 11 2 3" xfId="11163" xr:uid="{00000000-0005-0000-0000-000041010000}"/>
    <cellStyle name="Normal 2 3 11 3" xfId="3579" xr:uid="{00000000-0005-0000-0000-000042010000}"/>
    <cellStyle name="Normal 2 3 11 3 2" xfId="7435" xr:uid="{00000000-0005-0000-0000-000043010000}"/>
    <cellStyle name="Normal 2 3 11 3 3" xfId="9921" xr:uid="{00000000-0005-0000-0000-000044010000}"/>
    <cellStyle name="Normal 2 3 11 4" xfId="4987" xr:uid="{00000000-0005-0000-0000-000045010000}"/>
    <cellStyle name="Normal 2 3 11 5" xfId="8679" xr:uid="{00000000-0005-0000-0000-000046010000}"/>
    <cellStyle name="Normal 2 3 12" xfId="440" xr:uid="{00000000-0005-0000-0000-000047010000}"/>
    <cellStyle name="Normal 2 3 12 2" xfId="4375" xr:uid="{00000000-0005-0000-0000-000048010000}"/>
    <cellStyle name="Normal 2 3 12 3" xfId="10533" xr:uid="{00000000-0005-0000-0000-000049010000}"/>
    <cellStyle name="Normal 2 3 13" xfId="1739" xr:uid="{00000000-0005-0000-0000-00004A010000}"/>
    <cellStyle name="Normal 2 3 13 2" xfId="5599" xr:uid="{00000000-0005-0000-0000-00004B010000}"/>
    <cellStyle name="Normal 2 3 13 3" xfId="11775" xr:uid="{00000000-0005-0000-0000-00004C010000}"/>
    <cellStyle name="Normal 2 3 14" xfId="2966" xr:uid="{00000000-0005-0000-0000-00004D010000}"/>
    <cellStyle name="Normal 2 3 14 2" xfId="6823" xr:uid="{00000000-0005-0000-0000-00004E010000}"/>
    <cellStyle name="Normal 2 3 14 3" xfId="9291" xr:uid="{00000000-0005-0000-0000-00004F010000}"/>
    <cellStyle name="Normal 2 3 15" xfId="4249" xr:uid="{00000000-0005-0000-0000-000050010000}"/>
    <cellStyle name="Normal 2 3 16" xfId="8048" xr:uid="{00000000-0005-0000-0000-000051010000}"/>
    <cellStyle name="Normal 2 3 2" xfId="441" xr:uid="{00000000-0005-0000-0000-000052010000}"/>
    <cellStyle name="Normal 2 3 2 10" xfId="1126" xr:uid="{00000000-0005-0000-0000-000053010000}"/>
    <cellStyle name="Normal 2 3 2 10 2" xfId="2352" xr:uid="{00000000-0005-0000-0000-000054010000}"/>
    <cellStyle name="Normal 2 3 2 10 2 2" xfId="6212" xr:uid="{00000000-0005-0000-0000-000055010000}"/>
    <cellStyle name="Normal 2 3 2 10 2 3" xfId="11164" xr:uid="{00000000-0005-0000-0000-000056010000}"/>
    <cellStyle name="Normal 2 3 2 10 3" xfId="3580" xr:uid="{00000000-0005-0000-0000-000057010000}"/>
    <cellStyle name="Normal 2 3 2 10 3 2" xfId="7436" xr:uid="{00000000-0005-0000-0000-000058010000}"/>
    <cellStyle name="Normal 2 3 2 10 3 3" xfId="9922" xr:uid="{00000000-0005-0000-0000-000059010000}"/>
    <cellStyle name="Normal 2 3 2 10 4" xfId="4988" xr:uid="{00000000-0005-0000-0000-00005A010000}"/>
    <cellStyle name="Normal 2 3 2 10 5" xfId="8680" xr:uid="{00000000-0005-0000-0000-00005B010000}"/>
    <cellStyle name="Normal 2 3 2 11" xfId="1740" xr:uid="{00000000-0005-0000-0000-00005C010000}"/>
    <cellStyle name="Normal 2 3 2 11 2" xfId="5600" xr:uid="{00000000-0005-0000-0000-00005D010000}"/>
    <cellStyle name="Normal 2 3 2 11 3" xfId="10534" xr:uid="{00000000-0005-0000-0000-00005E010000}"/>
    <cellStyle name="Normal 2 3 2 12" xfId="2967" xr:uid="{00000000-0005-0000-0000-00005F010000}"/>
    <cellStyle name="Normal 2 3 2 12 2" xfId="6824" xr:uid="{00000000-0005-0000-0000-000060010000}"/>
    <cellStyle name="Normal 2 3 2 12 3" xfId="11776" xr:uid="{00000000-0005-0000-0000-000061010000}"/>
    <cellStyle name="Normal 2 3 2 13" xfId="4376" xr:uid="{00000000-0005-0000-0000-000062010000}"/>
    <cellStyle name="Normal 2 3 2 13 2" xfId="9292" xr:uid="{00000000-0005-0000-0000-000063010000}"/>
    <cellStyle name="Normal 2 3 2 14" xfId="8049" xr:uid="{00000000-0005-0000-0000-000064010000}"/>
    <cellStyle name="Normal 2 3 2 2" xfId="442" xr:uid="{00000000-0005-0000-0000-000065010000}"/>
    <cellStyle name="Normal 2 3 2 2 10" xfId="1741" xr:uid="{00000000-0005-0000-0000-000066010000}"/>
    <cellStyle name="Normal 2 3 2 2 10 2" xfId="5601" xr:uid="{00000000-0005-0000-0000-000067010000}"/>
    <cellStyle name="Normal 2 3 2 2 10 3" xfId="10535" xr:uid="{00000000-0005-0000-0000-000068010000}"/>
    <cellStyle name="Normal 2 3 2 2 11" xfId="2968" xr:uid="{00000000-0005-0000-0000-000069010000}"/>
    <cellStyle name="Normal 2 3 2 2 11 2" xfId="6825" xr:uid="{00000000-0005-0000-0000-00006A010000}"/>
    <cellStyle name="Normal 2 3 2 2 11 3" xfId="11777" xr:uid="{00000000-0005-0000-0000-00006B010000}"/>
    <cellStyle name="Normal 2 3 2 2 12" xfId="4377" xr:uid="{00000000-0005-0000-0000-00006C010000}"/>
    <cellStyle name="Normal 2 3 2 2 12 2" xfId="9293" xr:uid="{00000000-0005-0000-0000-00006D010000}"/>
    <cellStyle name="Normal 2 3 2 2 13" xfId="8050" xr:uid="{00000000-0005-0000-0000-00006E010000}"/>
    <cellStyle name="Normal 2 3 2 2 2" xfId="463" xr:uid="{00000000-0005-0000-0000-00006F010000}"/>
    <cellStyle name="Normal 2 3 2 2 2 10" xfId="4395" xr:uid="{00000000-0005-0000-0000-000070010000}"/>
    <cellStyle name="Normal 2 3 2 2 2 10 2" xfId="9311" xr:uid="{00000000-0005-0000-0000-000071010000}"/>
    <cellStyle name="Normal 2 3 2 2 2 11" xfId="8068" xr:uid="{00000000-0005-0000-0000-000072010000}"/>
    <cellStyle name="Normal 2 3 2 2 2 2" xfId="576" xr:uid="{00000000-0005-0000-0000-000073010000}"/>
    <cellStyle name="Normal 2 3 2 2 2 2 2" xfId="757" xr:uid="{00000000-0005-0000-0000-000074010000}"/>
    <cellStyle name="Normal 2 3 2 2 2 2 2 2" xfId="1107" xr:uid="{00000000-0005-0000-0000-000075010000}"/>
    <cellStyle name="Normal 2 3 2 2 2 2 2 2 2" xfId="1721" xr:uid="{00000000-0005-0000-0000-000076010000}"/>
    <cellStyle name="Normal 2 3 2 2 2 2 2 2 2 2" xfId="2947" xr:uid="{00000000-0005-0000-0000-000077010000}"/>
    <cellStyle name="Normal 2 3 2 2 2 2 2 2 2 2 2" xfId="6807" xr:uid="{00000000-0005-0000-0000-000078010000}"/>
    <cellStyle name="Normal 2 3 2 2 2 2 2 2 2 2 3" xfId="11759" xr:uid="{00000000-0005-0000-0000-000079010000}"/>
    <cellStyle name="Normal 2 3 2 2 2 2 2 2 2 3" xfId="4175" xr:uid="{00000000-0005-0000-0000-00007A010000}"/>
    <cellStyle name="Normal 2 3 2 2 2 2 2 2 2 3 2" xfId="8031" xr:uid="{00000000-0005-0000-0000-00007B010000}"/>
    <cellStyle name="Normal 2 3 2 2 2 2 2 2 2 3 3" xfId="10517" xr:uid="{00000000-0005-0000-0000-00007C010000}"/>
    <cellStyle name="Normal 2 3 2 2 2 2 2 2 2 4" xfId="5583" xr:uid="{00000000-0005-0000-0000-00007D010000}"/>
    <cellStyle name="Normal 2 3 2 2 2 2 2 2 2 5" xfId="9275" xr:uid="{00000000-0005-0000-0000-00007E010000}"/>
    <cellStyle name="Normal 2 3 2 2 2 2 2 2 3" xfId="2335" xr:uid="{00000000-0005-0000-0000-00007F010000}"/>
    <cellStyle name="Normal 2 3 2 2 2 2 2 2 3 2" xfId="6195" xr:uid="{00000000-0005-0000-0000-000080010000}"/>
    <cellStyle name="Normal 2 3 2 2 2 2 2 2 3 3" xfId="11111" xr:uid="{00000000-0005-0000-0000-000081010000}"/>
    <cellStyle name="Normal 2 3 2 2 2 2 2 2 4" xfId="3563" xr:uid="{00000000-0005-0000-0000-000082010000}"/>
    <cellStyle name="Normal 2 3 2 2 2 2 2 2 4 2" xfId="7419" xr:uid="{00000000-0005-0000-0000-000083010000}"/>
    <cellStyle name="Normal 2 3 2 2 2 2 2 2 4 3" xfId="9869" xr:uid="{00000000-0005-0000-0000-000084010000}"/>
    <cellStyle name="Normal 2 3 2 2 2 2 2 2 5" xfId="4971" xr:uid="{00000000-0005-0000-0000-000085010000}"/>
    <cellStyle name="Normal 2 3 2 2 2 2 2 2 6" xfId="8626" xr:uid="{00000000-0005-0000-0000-000086010000}"/>
    <cellStyle name="Normal 2 3 2 2 2 2 2 3" xfId="1415" xr:uid="{00000000-0005-0000-0000-000087010000}"/>
    <cellStyle name="Normal 2 3 2 2 2 2 2 3 2" xfId="2641" xr:uid="{00000000-0005-0000-0000-000088010000}"/>
    <cellStyle name="Normal 2 3 2 2 2 2 2 3 2 2" xfId="6501" xr:uid="{00000000-0005-0000-0000-000089010000}"/>
    <cellStyle name="Normal 2 3 2 2 2 2 2 3 2 3" xfId="11453" xr:uid="{00000000-0005-0000-0000-00008A010000}"/>
    <cellStyle name="Normal 2 3 2 2 2 2 2 3 3" xfId="3869" xr:uid="{00000000-0005-0000-0000-00008B010000}"/>
    <cellStyle name="Normal 2 3 2 2 2 2 2 3 3 2" xfId="7725" xr:uid="{00000000-0005-0000-0000-00008C010000}"/>
    <cellStyle name="Normal 2 3 2 2 2 2 2 3 3 3" xfId="10211" xr:uid="{00000000-0005-0000-0000-00008D010000}"/>
    <cellStyle name="Normal 2 3 2 2 2 2 2 3 4" xfId="5277" xr:uid="{00000000-0005-0000-0000-00008E010000}"/>
    <cellStyle name="Normal 2 3 2 2 2 2 2 3 5" xfId="8969" xr:uid="{00000000-0005-0000-0000-00008F010000}"/>
    <cellStyle name="Normal 2 3 2 2 2 2 2 4" xfId="2029" xr:uid="{00000000-0005-0000-0000-000090010000}"/>
    <cellStyle name="Normal 2 3 2 2 2 2 2 4 2" xfId="5889" xr:uid="{00000000-0005-0000-0000-000091010000}"/>
    <cellStyle name="Normal 2 3 2 2 2 2 2 4 3" xfId="10823" xr:uid="{00000000-0005-0000-0000-000092010000}"/>
    <cellStyle name="Normal 2 3 2 2 2 2 2 5" xfId="3256" xr:uid="{00000000-0005-0000-0000-000093010000}"/>
    <cellStyle name="Normal 2 3 2 2 2 2 2 5 2" xfId="7113" xr:uid="{00000000-0005-0000-0000-000094010000}"/>
    <cellStyle name="Normal 2 3 2 2 2 2 2 5 3" xfId="12029" xr:uid="{00000000-0005-0000-0000-000095010000}"/>
    <cellStyle name="Normal 2 3 2 2 2 2 2 6" xfId="4665" xr:uid="{00000000-0005-0000-0000-000096010000}"/>
    <cellStyle name="Normal 2 3 2 2 2 2 2 6 2" xfId="9581" xr:uid="{00000000-0005-0000-0000-000097010000}"/>
    <cellStyle name="Normal 2 3 2 2 2 2 2 7" xfId="8338" xr:uid="{00000000-0005-0000-0000-000098010000}"/>
    <cellStyle name="Normal 2 3 2 2 2 2 3" xfId="667" xr:uid="{00000000-0005-0000-0000-000099010000}"/>
    <cellStyle name="Normal 2 3 2 2 2 2 3 2" xfId="1017" xr:uid="{00000000-0005-0000-0000-00009A010000}"/>
    <cellStyle name="Normal 2 3 2 2 2 2 3 2 2" xfId="1631" xr:uid="{00000000-0005-0000-0000-00009B010000}"/>
    <cellStyle name="Normal 2 3 2 2 2 2 3 2 2 2" xfId="2857" xr:uid="{00000000-0005-0000-0000-00009C010000}"/>
    <cellStyle name="Normal 2 3 2 2 2 2 3 2 2 2 2" xfId="6717" xr:uid="{00000000-0005-0000-0000-00009D010000}"/>
    <cellStyle name="Normal 2 3 2 2 2 2 3 2 2 2 3" xfId="11669" xr:uid="{00000000-0005-0000-0000-00009E010000}"/>
    <cellStyle name="Normal 2 3 2 2 2 2 3 2 2 3" xfId="4085" xr:uid="{00000000-0005-0000-0000-00009F010000}"/>
    <cellStyle name="Normal 2 3 2 2 2 2 3 2 2 3 2" xfId="7941" xr:uid="{00000000-0005-0000-0000-0000A0010000}"/>
    <cellStyle name="Normal 2 3 2 2 2 2 3 2 2 3 3" xfId="10427" xr:uid="{00000000-0005-0000-0000-0000A1010000}"/>
    <cellStyle name="Normal 2 3 2 2 2 2 3 2 2 4" xfId="5493" xr:uid="{00000000-0005-0000-0000-0000A2010000}"/>
    <cellStyle name="Normal 2 3 2 2 2 2 3 2 2 5" xfId="9185" xr:uid="{00000000-0005-0000-0000-0000A3010000}"/>
    <cellStyle name="Normal 2 3 2 2 2 2 3 2 3" xfId="2245" xr:uid="{00000000-0005-0000-0000-0000A4010000}"/>
    <cellStyle name="Normal 2 3 2 2 2 2 3 2 3 2" xfId="6105" xr:uid="{00000000-0005-0000-0000-0000A5010000}"/>
    <cellStyle name="Normal 2 3 2 2 2 2 3 2 3 3" xfId="11021" xr:uid="{00000000-0005-0000-0000-0000A6010000}"/>
    <cellStyle name="Normal 2 3 2 2 2 2 3 2 4" xfId="3473" xr:uid="{00000000-0005-0000-0000-0000A7010000}"/>
    <cellStyle name="Normal 2 3 2 2 2 2 3 2 4 2" xfId="7329" xr:uid="{00000000-0005-0000-0000-0000A8010000}"/>
    <cellStyle name="Normal 2 3 2 2 2 2 3 2 4 3" xfId="9779" xr:uid="{00000000-0005-0000-0000-0000A9010000}"/>
    <cellStyle name="Normal 2 3 2 2 2 2 3 2 5" xfId="4881" xr:uid="{00000000-0005-0000-0000-0000AA010000}"/>
    <cellStyle name="Normal 2 3 2 2 2 2 3 2 6" xfId="8536" xr:uid="{00000000-0005-0000-0000-0000AB010000}"/>
    <cellStyle name="Normal 2 3 2 2 2 2 3 3" xfId="1325" xr:uid="{00000000-0005-0000-0000-0000AC010000}"/>
    <cellStyle name="Normal 2 3 2 2 2 2 3 3 2" xfId="2551" xr:uid="{00000000-0005-0000-0000-0000AD010000}"/>
    <cellStyle name="Normal 2 3 2 2 2 2 3 3 2 2" xfId="6411" xr:uid="{00000000-0005-0000-0000-0000AE010000}"/>
    <cellStyle name="Normal 2 3 2 2 2 2 3 3 2 3" xfId="11363" xr:uid="{00000000-0005-0000-0000-0000AF010000}"/>
    <cellStyle name="Normal 2 3 2 2 2 2 3 3 3" xfId="3779" xr:uid="{00000000-0005-0000-0000-0000B0010000}"/>
    <cellStyle name="Normal 2 3 2 2 2 2 3 3 3 2" xfId="7635" xr:uid="{00000000-0005-0000-0000-0000B1010000}"/>
    <cellStyle name="Normal 2 3 2 2 2 2 3 3 3 3" xfId="10121" xr:uid="{00000000-0005-0000-0000-0000B2010000}"/>
    <cellStyle name="Normal 2 3 2 2 2 2 3 3 4" xfId="5187" xr:uid="{00000000-0005-0000-0000-0000B3010000}"/>
    <cellStyle name="Normal 2 3 2 2 2 2 3 3 5" xfId="8879" xr:uid="{00000000-0005-0000-0000-0000B4010000}"/>
    <cellStyle name="Normal 2 3 2 2 2 2 3 4" xfId="1939" xr:uid="{00000000-0005-0000-0000-0000B5010000}"/>
    <cellStyle name="Normal 2 3 2 2 2 2 3 4 2" xfId="5799" xr:uid="{00000000-0005-0000-0000-0000B6010000}"/>
    <cellStyle name="Normal 2 3 2 2 2 2 3 4 3" xfId="10733" xr:uid="{00000000-0005-0000-0000-0000B7010000}"/>
    <cellStyle name="Normal 2 3 2 2 2 2 3 5" xfId="3166" xr:uid="{00000000-0005-0000-0000-0000B8010000}"/>
    <cellStyle name="Normal 2 3 2 2 2 2 3 5 2" xfId="7023" xr:uid="{00000000-0005-0000-0000-0000B9010000}"/>
    <cellStyle name="Normal 2 3 2 2 2 2 3 5 3" xfId="11939" xr:uid="{00000000-0005-0000-0000-0000BA010000}"/>
    <cellStyle name="Normal 2 3 2 2 2 2 3 6" xfId="4575" xr:uid="{00000000-0005-0000-0000-0000BB010000}"/>
    <cellStyle name="Normal 2 3 2 2 2 2 3 6 2" xfId="9491" xr:uid="{00000000-0005-0000-0000-0000BC010000}"/>
    <cellStyle name="Normal 2 3 2 2 2 2 3 7" xfId="8248" xr:uid="{00000000-0005-0000-0000-0000BD010000}"/>
    <cellStyle name="Normal 2 3 2 2 2 2 4" xfId="926" xr:uid="{00000000-0005-0000-0000-0000BE010000}"/>
    <cellStyle name="Normal 2 3 2 2 2 2 4 2" xfId="1541" xr:uid="{00000000-0005-0000-0000-0000BF010000}"/>
    <cellStyle name="Normal 2 3 2 2 2 2 4 2 2" xfId="2767" xr:uid="{00000000-0005-0000-0000-0000C0010000}"/>
    <cellStyle name="Normal 2 3 2 2 2 2 4 2 2 2" xfId="6627" xr:uid="{00000000-0005-0000-0000-0000C1010000}"/>
    <cellStyle name="Normal 2 3 2 2 2 2 4 2 2 3" xfId="11579" xr:uid="{00000000-0005-0000-0000-0000C2010000}"/>
    <cellStyle name="Normal 2 3 2 2 2 2 4 2 3" xfId="3995" xr:uid="{00000000-0005-0000-0000-0000C3010000}"/>
    <cellStyle name="Normal 2 3 2 2 2 2 4 2 3 2" xfId="7851" xr:uid="{00000000-0005-0000-0000-0000C4010000}"/>
    <cellStyle name="Normal 2 3 2 2 2 2 4 2 3 3" xfId="10337" xr:uid="{00000000-0005-0000-0000-0000C5010000}"/>
    <cellStyle name="Normal 2 3 2 2 2 2 4 2 4" xfId="5403" xr:uid="{00000000-0005-0000-0000-0000C6010000}"/>
    <cellStyle name="Normal 2 3 2 2 2 2 4 2 5" xfId="9095" xr:uid="{00000000-0005-0000-0000-0000C7010000}"/>
    <cellStyle name="Normal 2 3 2 2 2 2 4 3" xfId="2155" xr:uid="{00000000-0005-0000-0000-0000C8010000}"/>
    <cellStyle name="Normal 2 3 2 2 2 2 4 3 2" xfId="6015" xr:uid="{00000000-0005-0000-0000-0000C9010000}"/>
    <cellStyle name="Normal 2 3 2 2 2 2 4 3 3" xfId="10931" xr:uid="{00000000-0005-0000-0000-0000CA010000}"/>
    <cellStyle name="Normal 2 3 2 2 2 2 4 4" xfId="3383" xr:uid="{00000000-0005-0000-0000-0000CB010000}"/>
    <cellStyle name="Normal 2 3 2 2 2 2 4 4 2" xfId="7239" xr:uid="{00000000-0005-0000-0000-0000CC010000}"/>
    <cellStyle name="Normal 2 3 2 2 2 2 4 4 3" xfId="9689" xr:uid="{00000000-0005-0000-0000-0000CD010000}"/>
    <cellStyle name="Normal 2 3 2 2 2 2 4 5" xfId="4791" xr:uid="{00000000-0005-0000-0000-0000CE010000}"/>
    <cellStyle name="Normal 2 3 2 2 2 2 4 6" xfId="8446" xr:uid="{00000000-0005-0000-0000-0000CF010000}"/>
    <cellStyle name="Normal 2 3 2 2 2 2 5" xfId="1235" xr:uid="{00000000-0005-0000-0000-0000D0010000}"/>
    <cellStyle name="Normal 2 3 2 2 2 2 5 2" xfId="2461" xr:uid="{00000000-0005-0000-0000-0000D1010000}"/>
    <cellStyle name="Normal 2 3 2 2 2 2 5 2 2" xfId="6321" xr:uid="{00000000-0005-0000-0000-0000D2010000}"/>
    <cellStyle name="Normal 2 3 2 2 2 2 5 2 3" xfId="11273" xr:uid="{00000000-0005-0000-0000-0000D3010000}"/>
    <cellStyle name="Normal 2 3 2 2 2 2 5 3" xfId="3689" xr:uid="{00000000-0005-0000-0000-0000D4010000}"/>
    <cellStyle name="Normal 2 3 2 2 2 2 5 3 2" xfId="7545" xr:uid="{00000000-0005-0000-0000-0000D5010000}"/>
    <cellStyle name="Normal 2 3 2 2 2 2 5 3 3" xfId="10031" xr:uid="{00000000-0005-0000-0000-0000D6010000}"/>
    <cellStyle name="Normal 2 3 2 2 2 2 5 4" xfId="5097" xr:uid="{00000000-0005-0000-0000-0000D7010000}"/>
    <cellStyle name="Normal 2 3 2 2 2 2 5 5" xfId="8789" xr:uid="{00000000-0005-0000-0000-0000D8010000}"/>
    <cellStyle name="Normal 2 3 2 2 2 2 6" xfId="1849" xr:uid="{00000000-0005-0000-0000-0000D9010000}"/>
    <cellStyle name="Normal 2 3 2 2 2 2 6 2" xfId="5709" xr:uid="{00000000-0005-0000-0000-0000DA010000}"/>
    <cellStyle name="Normal 2 3 2 2 2 2 6 3" xfId="10643" xr:uid="{00000000-0005-0000-0000-0000DB010000}"/>
    <cellStyle name="Normal 2 3 2 2 2 2 7" xfId="3076" xr:uid="{00000000-0005-0000-0000-0000DC010000}"/>
    <cellStyle name="Normal 2 3 2 2 2 2 7 2" xfId="6933" xr:uid="{00000000-0005-0000-0000-0000DD010000}"/>
    <cellStyle name="Normal 2 3 2 2 2 2 7 3" xfId="11849" xr:uid="{00000000-0005-0000-0000-0000DE010000}"/>
    <cellStyle name="Normal 2 3 2 2 2 2 8" xfId="4485" xr:uid="{00000000-0005-0000-0000-0000DF010000}"/>
    <cellStyle name="Normal 2 3 2 2 2 2 8 2" xfId="9401" xr:uid="{00000000-0005-0000-0000-0000E0010000}"/>
    <cellStyle name="Normal 2 3 2 2 2 2 9" xfId="8158" xr:uid="{00000000-0005-0000-0000-0000E1010000}"/>
    <cellStyle name="Normal 2 3 2 2 2 3" xfId="721" xr:uid="{00000000-0005-0000-0000-0000E2010000}"/>
    <cellStyle name="Normal 2 3 2 2 2 3 2" xfId="1071" xr:uid="{00000000-0005-0000-0000-0000E3010000}"/>
    <cellStyle name="Normal 2 3 2 2 2 3 2 2" xfId="1685" xr:uid="{00000000-0005-0000-0000-0000E4010000}"/>
    <cellStyle name="Normal 2 3 2 2 2 3 2 2 2" xfId="2911" xr:uid="{00000000-0005-0000-0000-0000E5010000}"/>
    <cellStyle name="Normal 2 3 2 2 2 3 2 2 2 2" xfId="6771" xr:uid="{00000000-0005-0000-0000-0000E6010000}"/>
    <cellStyle name="Normal 2 3 2 2 2 3 2 2 2 3" xfId="11723" xr:uid="{00000000-0005-0000-0000-0000E7010000}"/>
    <cellStyle name="Normal 2 3 2 2 2 3 2 2 3" xfId="4139" xr:uid="{00000000-0005-0000-0000-0000E8010000}"/>
    <cellStyle name="Normal 2 3 2 2 2 3 2 2 3 2" xfId="7995" xr:uid="{00000000-0005-0000-0000-0000E9010000}"/>
    <cellStyle name="Normal 2 3 2 2 2 3 2 2 3 3" xfId="10481" xr:uid="{00000000-0005-0000-0000-0000EA010000}"/>
    <cellStyle name="Normal 2 3 2 2 2 3 2 2 4" xfId="5547" xr:uid="{00000000-0005-0000-0000-0000EB010000}"/>
    <cellStyle name="Normal 2 3 2 2 2 3 2 2 5" xfId="9239" xr:uid="{00000000-0005-0000-0000-0000EC010000}"/>
    <cellStyle name="Normal 2 3 2 2 2 3 2 3" xfId="2299" xr:uid="{00000000-0005-0000-0000-0000ED010000}"/>
    <cellStyle name="Normal 2 3 2 2 2 3 2 3 2" xfId="6159" xr:uid="{00000000-0005-0000-0000-0000EE010000}"/>
    <cellStyle name="Normal 2 3 2 2 2 3 2 3 3" xfId="11075" xr:uid="{00000000-0005-0000-0000-0000EF010000}"/>
    <cellStyle name="Normal 2 3 2 2 2 3 2 4" xfId="3527" xr:uid="{00000000-0005-0000-0000-0000F0010000}"/>
    <cellStyle name="Normal 2 3 2 2 2 3 2 4 2" xfId="7383" xr:uid="{00000000-0005-0000-0000-0000F1010000}"/>
    <cellStyle name="Normal 2 3 2 2 2 3 2 4 3" xfId="9833" xr:uid="{00000000-0005-0000-0000-0000F2010000}"/>
    <cellStyle name="Normal 2 3 2 2 2 3 2 5" xfId="4935" xr:uid="{00000000-0005-0000-0000-0000F3010000}"/>
    <cellStyle name="Normal 2 3 2 2 2 3 2 6" xfId="8590" xr:uid="{00000000-0005-0000-0000-0000F4010000}"/>
    <cellStyle name="Normal 2 3 2 2 2 3 3" xfId="1379" xr:uid="{00000000-0005-0000-0000-0000F5010000}"/>
    <cellStyle name="Normal 2 3 2 2 2 3 3 2" xfId="2605" xr:uid="{00000000-0005-0000-0000-0000F6010000}"/>
    <cellStyle name="Normal 2 3 2 2 2 3 3 2 2" xfId="6465" xr:uid="{00000000-0005-0000-0000-0000F7010000}"/>
    <cellStyle name="Normal 2 3 2 2 2 3 3 2 3" xfId="11417" xr:uid="{00000000-0005-0000-0000-0000F8010000}"/>
    <cellStyle name="Normal 2 3 2 2 2 3 3 3" xfId="3833" xr:uid="{00000000-0005-0000-0000-0000F9010000}"/>
    <cellStyle name="Normal 2 3 2 2 2 3 3 3 2" xfId="7689" xr:uid="{00000000-0005-0000-0000-0000FA010000}"/>
    <cellStyle name="Normal 2 3 2 2 2 3 3 3 3" xfId="10175" xr:uid="{00000000-0005-0000-0000-0000FB010000}"/>
    <cellStyle name="Normal 2 3 2 2 2 3 3 4" xfId="5241" xr:uid="{00000000-0005-0000-0000-0000FC010000}"/>
    <cellStyle name="Normal 2 3 2 2 2 3 3 5" xfId="8933" xr:uid="{00000000-0005-0000-0000-0000FD010000}"/>
    <cellStyle name="Normal 2 3 2 2 2 3 4" xfId="1993" xr:uid="{00000000-0005-0000-0000-0000FE010000}"/>
    <cellStyle name="Normal 2 3 2 2 2 3 4 2" xfId="5853" xr:uid="{00000000-0005-0000-0000-0000FF010000}"/>
    <cellStyle name="Normal 2 3 2 2 2 3 4 3" xfId="10787" xr:uid="{00000000-0005-0000-0000-000000020000}"/>
    <cellStyle name="Normal 2 3 2 2 2 3 5" xfId="3220" xr:uid="{00000000-0005-0000-0000-000001020000}"/>
    <cellStyle name="Normal 2 3 2 2 2 3 5 2" xfId="7077" xr:uid="{00000000-0005-0000-0000-000002020000}"/>
    <cellStyle name="Normal 2 3 2 2 2 3 5 3" xfId="11993" xr:uid="{00000000-0005-0000-0000-000003020000}"/>
    <cellStyle name="Normal 2 3 2 2 2 3 6" xfId="4629" xr:uid="{00000000-0005-0000-0000-000004020000}"/>
    <cellStyle name="Normal 2 3 2 2 2 3 6 2" xfId="9545" xr:uid="{00000000-0005-0000-0000-000005020000}"/>
    <cellStyle name="Normal 2 3 2 2 2 3 7" xfId="8302" xr:uid="{00000000-0005-0000-0000-000006020000}"/>
    <cellStyle name="Normal 2 3 2 2 2 4" xfId="631" xr:uid="{00000000-0005-0000-0000-000007020000}"/>
    <cellStyle name="Normal 2 3 2 2 2 4 2" xfId="981" xr:uid="{00000000-0005-0000-0000-000008020000}"/>
    <cellStyle name="Normal 2 3 2 2 2 4 2 2" xfId="1595" xr:uid="{00000000-0005-0000-0000-000009020000}"/>
    <cellStyle name="Normal 2 3 2 2 2 4 2 2 2" xfId="2821" xr:uid="{00000000-0005-0000-0000-00000A020000}"/>
    <cellStyle name="Normal 2 3 2 2 2 4 2 2 2 2" xfId="6681" xr:uid="{00000000-0005-0000-0000-00000B020000}"/>
    <cellStyle name="Normal 2 3 2 2 2 4 2 2 2 3" xfId="11633" xr:uid="{00000000-0005-0000-0000-00000C020000}"/>
    <cellStyle name="Normal 2 3 2 2 2 4 2 2 3" xfId="4049" xr:uid="{00000000-0005-0000-0000-00000D020000}"/>
    <cellStyle name="Normal 2 3 2 2 2 4 2 2 3 2" xfId="7905" xr:uid="{00000000-0005-0000-0000-00000E020000}"/>
    <cellStyle name="Normal 2 3 2 2 2 4 2 2 3 3" xfId="10391" xr:uid="{00000000-0005-0000-0000-00000F020000}"/>
    <cellStyle name="Normal 2 3 2 2 2 4 2 2 4" xfId="5457" xr:uid="{00000000-0005-0000-0000-000010020000}"/>
    <cellStyle name="Normal 2 3 2 2 2 4 2 2 5" xfId="9149" xr:uid="{00000000-0005-0000-0000-000011020000}"/>
    <cellStyle name="Normal 2 3 2 2 2 4 2 3" xfId="2209" xr:uid="{00000000-0005-0000-0000-000012020000}"/>
    <cellStyle name="Normal 2 3 2 2 2 4 2 3 2" xfId="6069" xr:uid="{00000000-0005-0000-0000-000013020000}"/>
    <cellStyle name="Normal 2 3 2 2 2 4 2 3 3" xfId="10985" xr:uid="{00000000-0005-0000-0000-000014020000}"/>
    <cellStyle name="Normal 2 3 2 2 2 4 2 4" xfId="3437" xr:uid="{00000000-0005-0000-0000-000015020000}"/>
    <cellStyle name="Normal 2 3 2 2 2 4 2 4 2" xfId="7293" xr:uid="{00000000-0005-0000-0000-000016020000}"/>
    <cellStyle name="Normal 2 3 2 2 2 4 2 4 3" xfId="9743" xr:uid="{00000000-0005-0000-0000-000017020000}"/>
    <cellStyle name="Normal 2 3 2 2 2 4 2 5" xfId="4845" xr:uid="{00000000-0005-0000-0000-000018020000}"/>
    <cellStyle name="Normal 2 3 2 2 2 4 2 6" xfId="8500" xr:uid="{00000000-0005-0000-0000-000019020000}"/>
    <cellStyle name="Normal 2 3 2 2 2 4 3" xfId="1289" xr:uid="{00000000-0005-0000-0000-00001A020000}"/>
    <cellStyle name="Normal 2 3 2 2 2 4 3 2" xfId="2515" xr:uid="{00000000-0005-0000-0000-00001B020000}"/>
    <cellStyle name="Normal 2 3 2 2 2 4 3 2 2" xfId="6375" xr:uid="{00000000-0005-0000-0000-00001C020000}"/>
    <cellStyle name="Normal 2 3 2 2 2 4 3 2 3" xfId="11327" xr:uid="{00000000-0005-0000-0000-00001D020000}"/>
    <cellStyle name="Normal 2 3 2 2 2 4 3 3" xfId="3743" xr:uid="{00000000-0005-0000-0000-00001E020000}"/>
    <cellStyle name="Normal 2 3 2 2 2 4 3 3 2" xfId="7599" xr:uid="{00000000-0005-0000-0000-00001F020000}"/>
    <cellStyle name="Normal 2 3 2 2 2 4 3 3 3" xfId="10085" xr:uid="{00000000-0005-0000-0000-000020020000}"/>
    <cellStyle name="Normal 2 3 2 2 2 4 3 4" xfId="5151" xr:uid="{00000000-0005-0000-0000-000021020000}"/>
    <cellStyle name="Normal 2 3 2 2 2 4 3 5" xfId="8843" xr:uid="{00000000-0005-0000-0000-000022020000}"/>
    <cellStyle name="Normal 2 3 2 2 2 4 4" xfId="1903" xr:uid="{00000000-0005-0000-0000-000023020000}"/>
    <cellStyle name="Normal 2 3 2 2 2 4 4 2" xfId="5763" xr:uid="{00000000-0005-0000-0000-000024020000}"/>
    <cellStyle name="Normal 2 3 2 2 2 4 4 3" xfId="10697" xr:uid="{00000000-0005-0000-0000-000025020000}"/>
    <cellStyle name="Normal 2 3 2 2 2 4 5" xfId="3130" xr:uid="{00000000-0005-0000-0000-000026020000}"/>
    <cellStyle name="Normal 2 3 2 2 2 4 5 2" xfId="6987" xr:uid="{00000000-0005-0000-0000-000027020000}"/>
    <cellStyle name="Normal 2 3 2 2 2 4 5 3" xfId="11903" xr:uid="{00000000-0005-0000-0000-000028020000}"/>
    <cellStyle name="Normal 2 3 2 2 2 4 6" xfId="4539" xr:uid="{00000000-0005-0000-0000-000029020000}"/>
    <cellStyle name="Normal 2 3 2 2 2 4 6 2" xfId="9455" xr:uid="{00000000-0005-0000-0000-00002A020000}"/>
    <cellStyle name="Normal 2 3 2 2 2 4 7" xfId="8212" xr:uid="{00000000-0005-0000-0000-00002B020000}"/>
    <cellStyle name="Normal 2 3 2 2 2 5" xfId="537" xr:uid="{00000000-0005-0000-0000-00002C020000}"/>
    <cellStyle name="Normal 2 3 2 2 2 5 2" xfId="887" xr:uid="{00000000-0005-0000-0000-00002D020000}"/>
    <cellStyle name="Normal 2 3 2 2 2 5 2 2" xfId="1505" xr:uid="{00000000-0005-0000-0000-00002E020000}"/>
    <cellStyle name="Normal 2 3 2 2 2 5 2 2 2" xfId="2731" xr:uid="{00000000-0005-0000-0000-00002F020000}"/>
    <cellStyle name="Normal 2 3 2 2 2 5 2 2 2 2" xfId="6591" xr:uid="{00000000-0005-0000-0000-000030020000}"/>
    <cellStyle name="Normal 2 3 2 2 2 5 2 2 2 3" xfId="11543" xr:uid="{00000000-0005-0000-0000-000031020000}"/>
    <cellStyle name="Normal 2 3 2 2 2 5 2 2 3" xfId="3959" xr:uid="{00000000-0005-0000-0000-000032020000}"/>
    <cellStyle name="Normal 2 3 2 2 2 5 2 2 3 2" xfId="7815" xr:uid="{00000000-0005-0000-0000-000033020000}"/>
    <cellStyle name="Normal 2 3 2 2 2 5 2 2 3 3" xfId="10301" xr:uid="{00000000-0005-0000-0000-000034020000}"/>
    <cellStyle name="Normal 2 3 2 2 2 5 2 2 4" xfId="5367" xr:uid="{00000000-0005-0000-0000-000035020000}"/>
    <cellStyle name="Normal 2 3 2 2 2 5 2 2 5" xfId="9059" xr:uid="{00000000-0005-0000-0000-000036020000}"/>
    <cellStyle name="Normal 2 3 2 2 2 5 2 3" xfId="2119" xr:uid="{00000000-0005-0000-0000-000037020000}"/>
    <cellStyle name="Normal 2 3 2 2 2 5 2 3 2" xfId="5979" xr:uid="{00000000-0005-0000-0000-000038020000}"/>
    <cellStyle name="Normal 2 3 2 2 2 5 2 3 3" xfId="11147" xr:uid="{00000000-0005-0000-0000-000039020000}"/>
    <cellStyle name="Normal 2 3 2 2 2 5 2 4" xfId="3347" xr:uid="{00000000-0005-0000-0000-00003A020000}"/>
    <cellStyle name="Normal 2 3 2 2 2 5 2 4 2" xfId="7203" xr:uid="{00000000-0005-0000-0000-00003B020000}"/>
    <cellStyle name="Normal 2 3 2 2 2 5 2 4 3" xfId="9905" xr:uid="{00000000-0005-0000-0000-00003C020000}"/>
    <cellStyle name="Normal 2 3 2 2 2 5 2 5" xfId="4755" xr:uid="{00000000-0005-0000-0000-00003D020000}"/>
    <cellStyle name="Normal 2 3 2 2 2 5 2 6" xfId="8663" xr:uid="{00000000-0005-0000-0000-00003E020000}"/>
    <cellStyle name="Normal 2 3 2 2 2 5 3" xfId="1199" xr:uid="{00000000-0005-0000-0000-00003F020000}"/>
    <cellStyle name="Normal 2 3 2 2 2 5 3 2" xfId="2425" xr:uid="{00000000-0005-0000-0000-000040020000}"/>
    <cellStyle name="Normal 2 3 2 2 2 5 3 2 2" xfId="6285" xr:uid="{00000000-0005-0000-0000-000041020000}"/>
    <cellStyle name="Normal 2 3 2 2 2 5 3 2 3" xfId="11237" xr:uid="{00000000-0005-0000-0000-000042020000}"/>
    <cellStyle name="Normal 2 3 2 2 2 5 3 3" xfId="3653" xr:uid="{00000000-0005-0000-0000-000043020000}"/>
    <cellStyle name="Normal 2 3 2 2 2 5 3 3 2" xfId="7509" xr:uid="{00000000-0005-0000-0000-000044020000}"/>
    <cellStyle name="Normal 2 3 2 2 2 5 3 3 3" xfId="9995" xr:uid="{00000000-0005-0000-0000-000045020000}"/>
    <cellStyle name="Normal 2 3 2 2 2 5 3 4" xfId="5061" xr:uid="{00000000-0005-0000-0000-000046020000}"/>
    <cellStyle name="Normal 2 3 2 2 2 5 3 5" xfId="8753" xr:uid="{00000000-0005-0000-0000-000047020000}"/>
    <cellStyle name="Normal 2 3 2 2 2 5 4" xfId="1813" xr:uid="{00000000-0005-0000-0000-000048020000}"/>
    <cellStyle name="Normal 2 3 2 2 2 5 4 2" xfId="5673" xr:uid="{00000000-0005-0000-0000-000049020000}"/>
    <cellStyle name="Normal 2 3 2 2 2 5 4 2 2" xfId="11129" xr:uid="{00000000-0005-0000-0000-00004A020000}"/>
    <cellStyle name="Normal 2 3 2 2 2 5 4 3" xfId="9887" xr:uid="{00000000-0005-0000-0000-00004B020000}"/>
    <cellStyle name="Normal 2 3 2 2 2 5 4 4" xfId="8644" xr:uid="{00000000-0005-0000-0000-00004C020000}"/>
    <cellStyle name="Normal 2 3 2 2 2 5 5" xfId="3040" xr:uid="{00000000-0005-0000-0000-00004D020000}"/>
    <cellStyle name="Normal 2 3 2 2 2 5 5 2" xfId="6897" xr:uid="{00000000-0005-0000-0000-00004E020000}"/>
    <cellStyle name="Normal 2 3 2 2 2 5 5 3" xfId="10607" xr:uid="{00000000-0005-0000-0000-00004F020000}"/>
    <cellStyle name="Normal 2 3 2 2 2 5 6" xfId="4449" xr:uid="{00000000-0005-0000-0000-000050020000}"/>
    <cellStyle name="Normal 2 3 2 2 2 5 6 2" xfId="9365" xr:uid="{00000000-0005-0000-0000-000051020000}"/>
    <cellStyle name="Normal 2 3 2 2 2 5 7" xfId="8122" xr:uid="{00000000-0005-0000-0000-000052020000}"/>
    <cellStyle name="Normal 2 3 2 2 2 6" xfId="813" xr:uid="{00000000-0005-0000-0000-000053020000}"/>
    <cellStyle name="Normal 2 3 2 2 2 6 2" xfId="1451" xr:uid="{00000000-0005-0000-0000-000054020000}"/>
    <cellStyle name="Normal 2 3 2 2 2 6 2 2" xfId="2677" xr:uid="{00000000-0005-0000-0000-000055020000}"/>
    <cellStyle name="Normal 2 3 2 2 2 6 2 2 2" xfId="6537" xr:uid="{00000000-0005-0000-0000-000056020000}"/>
    <cellStyle name="Normal 2 3 2 2 2 6 2 2 3" xfId="11489" xr:uid="{00000000-0005-0000-0000-000057020000}"/>
    <cellStyle name="Normal 2 3 2 2 2 6 2 3" xfId="3905" xr:uid="{00000000-0005-0000-0000-000058020000}"/>
    <cellStyle name="Normal 2 3 2 2 2 6 2 3 2" xfId="7761" xr:uid="{00000000-0005-0000-0000-000059020000}"/>
    <cellStyle name="Normal 2 3 2 2 2 6 2 3 3" xfId="10247" xr:uid="{00000000-0005-0000-0000-00005A020000}"/>
    <cellStyle name="Normal 2 3 2 2 2 6 2 4" xfId="5313" xr:uid="{00000000-0005-0000-0000-00005B020000}"/>
    <cellStyle name="Normal 2 3 2 2 2 6 2 5" xfId="9005" xr:uid="{00000000-0005-0000-0000-00005C020000}"/>
    <cellStyle name="Normal 2 3 2 2 2 6 3" xfId="2065" xr:uid="{00000000-0005-0000-0000-00005D020000}"/>
    <cellStyle name="Normal 2 3 2 2 2 6 3 2" xfId="5925" xr:uid="{00000000-0005-0000-0000-00005E020000}"/>
    <cellStyle name="Normal 2 3 2 2 2 6 3 3" xfId="10895" xr:uid="{00000000-0005-0000-0000-00005F020000}"/>
    <cellStyle name="Normal 2 3 2 2 2 6 4" xfId="3293" xr:uid="{00000000-0005-0000-0000-000060020000}"/>
    <cellStyle name="Normal 2 3 2 2 2 6 4 2" xfId="7149" xr:uid="{00000000-0005-0000-0000-000061020000}"/>
    <cellStyle name="Normal 2 3 2 2 2 6 4 3" xfId="9653" xr:uid="{00000000-0005-0000-0000-000062020000}"/>
    <cellStyle name="Normal 2 3 2 2 2 6 5" xfId="4701" xr:uid="{00000000-0005-0000-0000-000063020000}"/>
    <cellStyle name="Normal 2 3 2 2 2 6 6" xfId="8410" xr:uid="{00000000-0005-0000-0000-000064020000}"/>
    <cellStyle name="Normal 2 3 2 2 2 7" xfId="1145" xr:uid="{00000000-0005-0000-0000-000065020000}"/>
    <cellStyle name="Normal 2 3 2 2 2 7 2" xfId="2371" xr:uid="{00000000-0005-0000-0000-000066020000}"/>
    <cellStyle name="Normal 2 3 2 2 2 7 2 2" xfId="6231" xr:uid="{00000000-0005-0000-0000-000067020000}"/>
    <cellStyle name="Normal 2 3 2 2 2 7 2 3" xfId="11183" xr:uid="{00000000-0005-0000-0000-000068020000}"/>
    <cellStyle name="Normal 2 3 2 2 2 7 3" xfId="3599" xr:uid="{00000000-0005-0000-0000-000069020000}"/>
    <cellStyle name="Normal 2 3 2 2 2 7 3 2" xfId="7455" xr:uid="{00000000-0005-0000-0000-00006A020000}"/>
    <cellStyle name="Normal 2 3 2 2 2 7 3 3" xfId="9941" xr:uid="{00000000-0005-0000-0000-00006B020000}"/>
    <cellStyle name="Normal 2 3 2 2 2 7 4" xfId="5007" xr:uid="{00000000-0005-0000-0000-00006C020000}"/>
    <cellStyle name="Normal 2 3 2 2 2 7 5" xfId="8699" xr:uid="{00000000-0005-0000-0000-00006D020000}"/>
    <cellStyle name="Normal 2 3 2 2 2 8" xfId="1759" xr:uid="{00000000-0005-0000-0000-00006E020000}"/>
    <cellStyle name="Normal 2 3 2 2 2 8 2" xfId="5619" xr:uid="{00000000-0005-0000-0000-00006F020000}"/>
    <cellStyle name="Normal 2 3 2 2 2 8 3" xfId="10553" xr:uid="{00000000-0005-0000-0000-000070020000}"/>
    <cellStyle name="Normal 2 3 2 2 2 9" xfId="2986" xr:uid="{00000000-0005-0000-0000-000071020000}"/>
    <cellStyle name="Normal 2 3 2 2 2 9 2" xfId="6843" xr:uid="{00000000-0005-0000-0000-000072020000}"/>
    <cellStyle name="Normal 2 3 2 2 2 9 3" xfId="11813" xr:uid="{00000000-0005-0000-0000-000073020000}"/>
    <cellStyle name="Normal 2 3 2 2 3" xfId="558" xr:uid="{00000000-0005-0000-0000-000074020000}"/>
    <cellStyle name="Normal 2 3 2 2 3 2" xfId="739" xr:uid="{00000000-0005-0000-0000-000075020000}"/>
    <cellStyle name="Normal 2 3 2 2 3 2 2" xfId="1089" xr:uid="{00000000-0005-0000-0000-000076020000}"/>
    <cellStyle name="Normal 2 3 2 2 3 2 2 2" xfId="1703" xr:uid="{00000000-0005-0000-0000-000077020000}"/>
    <cellStyle name="Normal 2 3 2 2 3 2 2 2 2" xfId="2929" xr:uid="{00000000-0005-0000-0000-000078020000}"/>
    <cellStyle name="Normal 2 3 2 2 3 2 2 2 2 2" xfId="6789" xr:uid="{00000000-0005-0000-0000-000079020000}"/>
    <cellStyle name="Normal 2 3 2 2 3 2 2 2 2 3" xfId="11741" xr:uid="{00000000-0005-0000-0000-00007A020000}"/>
    <cellStyle name="Normal 2 3 2 2 3 2 2 2 3" xfId="4157" xr:uid="{00000000-0005-0000-0000-00007B020000}"/>
    <cellStyle name="Normal 2 3 2 2 3 2 2 2 3 2" xfId="8013" xr:uid="{00000000-0005-0000-0000-00007C020000}"/>
    <cellStyle name="Normal 2 3 2 2 3 2 2 2 3 3" xfId="10499" xr:uid="{00000000-0005-0000-0000-00007D020000}"/>
    <cellStyle name="Normal 2 3 2 2 3 2 2 2 4" xfId="5565" xr:uid="{00000000-0005-0000-0000-00007E020000}"/>
    <cellStyle name="Normal 2 3 2 2 3 2 2 2 5" xfId="9257" xr:uid="{00000000-0005-0000-0000-00007F020000}"/>
    <cellStyle name="Normal 2 3 2 2 3 2 2 3" xfId="2317" xr:uid="{00000000-0005-0000-0000-000080020000}"/>
    <cellStyle name="Normal 2 3 2 2 3 2 2 3 2" xfId="6177" xr:uid="{00000000-0005-0000-0000-000081020000}"/>
    <cellStyle name="Normal 2 3 2 2 3 2 2 3 3" xfId="11093" xr:uid="{00000000-0005-0000-0000-000082020000}"/>
    <cellStyle name="Normal 2 3 2 2 3 2 2 4" xfId="3545" xr:uid="{00000000-0005-0000-0000-000083020000}"/>
    <cellStyle name="Normal 2 3 2 2 3 2 2 4 2" xfId="7401" xr:uid="{00000000-0005-0000-0000-000084020000}"/>
    <cellStyle name="Normal 2 3 2 2 3 2 2 4 3" xfId="9851" xr:uid="{00000000-0005-0000-0000-000085020000}"/>
    <cellStyle name="Normal 2 3 2 2 3 2 2 5" xfId="4953" xr:uid="{00000000-0005-0000-0000-000086020000}"/>
    <cellStyle name="Normal 2 3 2 2 3 2 2 6" xfId="8608" xr:uid="{00000000-0005-0000-0000-000087020000}"/>
    <cellStyle name="Normal 2 3 2 2 3 2 3" xfId="1397" xr:uid="{00000000-0005-0000-0000-000088020000}"/>
    <cellStyle name="Normal 2 3 2 2 3 2 3 2" xfId="2623" xr:uid="{00000000-0005-0000-0000-000089020000}"/>
    <cellStyle name="Normal 2 3 2 2 3 2 3 2 2" xfId="6483" xr:uid="{00000000-0005-0000-0000-00008A020000}"/>
    <cellStyle name="Normal 2 3 2 2 3 2 3 2 3" xfId="11435" xr:uid="{00000000-0005-0000-0000-00008B020000}"/>
    <cellStyle name="Normal 2 3 2 2 3 2 3 3" xfId="3851" xr:uid="{00000000-0005-0000-0000-00008C020000}"/>
    <cellStyle name="Normal 2 3 2 2 3 2 3 3 2" xfId="7707" xr:uid="{00000000-0005-0000-0000-00008D020000}"/>
    <cellStyle name="Normal 2 3 2 2 3 2 3 3 3" xfId="10193" xr:uid="{00000000-0005-0000-0000-00008E020000}"/>
    <cellStyle name="Normal 2 3 2 2 3 2 3 4" xfId="5259" xr:uid="{00000000-0005-0000-0000-00008F020000}"/>
    <cellStyle name="Normal 2 3 2 2 3 2 3 5" xfId="8951" xr:uid="{00000000-0005-0000-0000-000090020000}"/>
    <cellStyle name="Normal 2 3 2 2 3 2 4" xfId="2011" xr:uid="{00000000-0005-0000-0000-000091020000}"/>
    <cellStyle name="Normal 2 3 2 2 3 2 4 2" xfId="5871" xr:uid="{00000000-0005-0000-0000-000092020000}"/>
    <cellStyle name="Normal 2 3 2 2 3 2 4 3" xfId="10805" xr:uid="{00000000-0005-0000-0000-000093020000}"/>
    <cellStyle name="Normal 2 3 2 2 3 2 5" xfId="3238" xr:uid="{00000000-0005-0000-0000-000094020000}"/>
    <cellStyle name="Normal 2 3 2 2 3 2 5 2" xfId="7095" xr:uid="{00000000-0005-0000-0000-000095020000}"/>
    <cellStyle name="Normal 2 3 2 2 3 2 5 3" xfId="12011" xr:uid="{00000000-0005-0000-0000-000096020000}"/>
    <cellStyle name="Normal 2 3 2 2 3 2 6" xfId="4647" xr:uid="{00000000-0005-0000-0000-000097020000}"/>
    <cellStyle name="Normal 2 3 2 2 3 2 6 2" xfId="9563" xr:uid="{00000000-0005-0000-0000-000098020000}"/>
    <cellStyle name="Normal 2 3 2 2 3 2 7" xfId="8320" xr:uid="{00000000-0005-0000-0000-000099020000}"/>
    <cellStyle name="Normal 2 3 2 2 3 3" xfId="649" xr:uid="{00000000-0005-0000-0000-00009A020000}"/>
    <cellStyle name="Normal 2 3 2 2 3 3 2" xfId="999" xr:uid="{00000000-0005-0000-0000-00009B020000}"/>
    <cellStyle name="Normal 2 3 2 2 3 3 2 2" xfId="1613" xr:uid="{00000000-0005-0000-0000-00009C020000}"/>
    <cellStyle name="Normal 2 3 2 2 3 3 2 2 2" xfId="2839" xr:uid="{00000000-0005-0000-0000-00009D020000}"/>
    <cellStyle name="Normal 2 3 2 2 3 3 2 2 2 2" xfId="6699" xr:uid="{00000000-0005-0000-0000-00009E020000}"/>
    <cellStyle name="Normal 2 3 2 2 3 3 2 2 2 3" xfId="11651" xr:uid="{00000000-0005-0000-0000-00009F020000}"/>
    <cellStyle name="Normal 2 3 2 2 3 3 2 2 3" xfId="4067" xr:uid="{00000000-0005-0000-0000-0000A0020000}"/>
    <cellStyle name="Normal 2 3 2 2 3 3 2 2 3 2" xfId="7923" xr:uid="{00000000-0005-0000-0000-0000A1020000}"/>
    <cellStyle name="Normal 2 3 2 2 3 3 2 2 3 3" xfId="10409" xr:uid="{00000000-0005-0000-0000-0000A2020000}"/>
    <cellStyle name="Normal 2 3 2 2 3 3 2 2 4" xfId="5475" xr:uid="{00000000-0005-0000-0000-0000A3020000}"/>
    <cellStyle name="Normal 2 3 2 2 3 3 2 2 5" xfId="9167" xr:uid="{00000000-0005-0000-0000-0000A4020000}"/>
    <cellStyle name="Normal 2 3 2 2 3 3 2 3" xfId="2227" xr:uid="{00000000-0005-0000-0000-0000A5020000}"/>
    <cellStyle name="Normal 2 3 2 2 3 3 2 3 2" xfId="6087" xr:uid="{00000000-0005-0000-0000-0000A6020000}"/>
    <cellStyle name="Normal 2 3 2 2 3 3 2 3 3" xfId="11003" xr:uid="{00000000-0005-0000-0000-0000A7020000}"/>
    <cellStyle name="Normal 2 3 2 2 3 3 2 4" xfId="3455" xr:uid="{00000000-0005-0000-0000-0000A8020000}"/>
    <cellStyle name="Normal 2 3 2 2 3 3 2 4 2" xfId="7311" xr:uid="{00000000-0005-0000-0000-0000A9020000}"/>
    <cellStyle name="Normal 2 3 2 2 3 3 2 4 3" xfId="9761" xr:uid="{00000000-0005-0000-0000-0000AA020000}"/>
    <cellStyle name="Normal 2 3 2 2 3 3 2 5" xfId="4863" xr:uid="{00000000-0005-0000-0000-0000AB020000}"/>
    <cellStyle name="Normal 2 3 2 2 3 3 2 6" xfId="8518" xr:uid="{00000000-0005-0000-0000-0000AC020000}"/>
    <cellStyle name="Normal 2 3 2 2 3 3 3" xfId="1307" xr:uid="{00000000-0005-0000-0000-0000AD020000}"/>
    <cellStyle name="Normal 2 3 2 2 3 3 3 2" xfId="2533" xr:uid="{00000000-0005-0000-0000-0000AE020000}"/>
    <cellStyle name="Normal 2 3 2 2 3 3 3 2 2" xfId="6393" xr:uid="{00000000-0005-0000-0000-0000AF020000}"/>
    <cellStyle name="Normal 2 3 2 2 3 3 3 2 3" xfId="11345" xr:uid="{00000000-0005-0000-0000-0000B0020000}"/>
    <cellStyle name="Normal 2 3 2 2 3 3 3 3" xfId="3761" xr:uid="{00000000-0005-0000-0000-0000B1020000}"/>
    <cellStyle name="Normal 2 3 2 2 3 3 3 3 2" xfId="7617" xr:uid="{00000000-0005-0000-0000-0000B2020000}"/>
    <cellStyle name="Normal 2 3 2 2 3 3 3 3 3" xfId="10103" xr:uid="{00000000-0005-0000-0000-0000B3020000}"/>
    <cellStyle name="Normal 2 3 2 2 3 3 3 4" xfId="5169" xr:uid="{00000000-0005-0000-0000-0000B4020000}"/>
    <cellStyle name="Normal 2 3 2 2 3 3 3 5" xfId="8861" xr:uid="{00000000-0005-0000-0000-0000B5020000}"/>
    <cellStyle name="Normal 2 3 2 2 3 3 4" xfId="1921" xr:uid="{00000000-0005-0000-0000-0000B6020000}"/>
    <cellStyle name="Normal 2 3 2 2 3 3 4 2" xfId="5781" xr:uid="{00000000-0005-0000-0000-0000B7020000}"/>
    <cellStyle name="Normal 2 3 2 2 3 3 4 3" xfId="10715" xr:uid="{00000000-0005-0000-0000-0000B8020000}"/>
    <cellStyle name="Normal 2 3 2 2 3 3 5" xfId="3148" xr:uid="{00000000-0005-0000-0000-0000B9020000}"/>
    <cellStyle name="Normal 2 3 2 2 3 3 5 2" xfId="7005" xr:uid="{00000000-0005-0000-0000-0000BA020000}"/>
    <cellStyle name="Normal 2 3 2 2 3 3 5 3" xfId="11921" xr:uid="{00000000-0005-0000-0000-0000BB020000}"/>
    <cellStyle name="Normal 2 3 2 2 3 3 6" xfId="4557" xr:uid="{00000000-0005-0000-0000-0000BC020000}"/>
    <cellStyle name="Normal 2 3 2 2 3 3 6 2" xfId="9473" xr:uid="{00000000-0005-0000-0000-0000BD020000}"/>
    <cellStyle name="Normal 2 3 2 2 3 3 7" xfId="8230" xr:uid="{00000000-0005-0000-0000-0000BE020000}"/>
    <cellStyle name="Normal 2 3 2 2 3 4" xfId="908" xr:uid="{00000000-0005-0000-0000-0000BF020000}"/>
    <cellStyle name="Normal 2 3 2 2 3 4 2" xfId="1523" xr:uid="{00000000-0005-0000-0000-0000C0020000}"/>
    <cellStyle name="Normal 2 3 2 2 3 4 2 2" xfId="2749" xr:uid="{00000000-0005-0000-0000-0000C1020000}"/>
    <cellStyle name="Normal 2 3 2 2 3 4 2 2 2" xfId="6609" xr:uid="{00000000-0005-0000-0000-0000C2020000}"/>
    <cellStyle name="Normal 2 3 2 2 3 4 2 2 3" xfId="11561" xr:uid="{00000000-0005-0000-0000-0000C3020000}"/>
    <cellStyle name="Normal 2 3 2 2 3 4 2 3" xfId="3977" xr:uid="{00000000-0005-0000-0000-0000C4020000}"/>
    <cellStyle name="Normal 2 3 2 2 3 4 2 3 2" xfId="7833" xr:uid="{00000000-0005-0000-0000-0000C5020000}"/>
    <cellStyle name="Normal 2 3 2 2 3 4 2 3 3" xfId="10319" xr:uid="{00000000-0005-0000-0000-0000C6020000}"/>
    <cellStyle name="Normal 2 3 2 2 3 4 2 4" xfId="5385" xr:uid="{00000000-0005-0000-0000-0000C7020000}"/>
    <cellStyle name="Normal 2 3 2 2 3 4 2 5" xfId="9077" xr:uid="{00000000-0005-0000-0000-0000C8020000}"/>
    <cellStyle name="Normal 2 3 2 2 3 4 3" xfId="2137" xr:uid="{00000000-0005-0000-0000-0000C9020000}"/>
    <cellStyle name="Normal 2 3 2 2 3 4 3 2" xfId="5997" xr:uid="{00000000-0005-0000-0000-0000CA020000}"/>
    <cellStyle name="Normal 2 3 2 2 3 4 3 3" xfId="10913" xr:uid="{00000000-0005-0000-0000-0000CB020000}"/>
    <cellStyle name="Normal 2 3 2 2 3 4 4" xfId="3365" xr:uid="{00000000-0005-0000-0000-0000CC020000}"/>
    <cellStyle name="Normal 2 3 2 2 3 4 4 2" xfId="7221" xr:uid="{00000000-0005-0000-0000-0000CD020000}"/>
    <cellStyle name="Normal 2 3 2 2 3 4 4 3" xfId="9671" xr:uid="{00000000-0005-0000-0000-0000CE020000}"/>
    <cellStyle name="Normal 2 3 2 2 3 4 5" xfId="4773" xr:uid="{00000000-0005-0000-0000-0000CF020000}"/>
    <cellStyle name="Normal 2 3 2 2 3 4 6" xfId="8428" xr:uid="{00000000-0005-0000-0000-0000D0020000}"/>
    <cellStyle name="Normal 2 3 2 2 3 5" xfId="1217" xr:uid="{00000000-0005-0000-0000-0000D1020000}"/>
    <cellStyle name="Normal 2 3 2 2 3 5 2" xfId="2443" xr:uid="{00000000-0005-0000-0000-0000D2020000}"/>
    <cellStyle name="Normal 2 3 2 2 3 5 2 2" xfId="6303" xr:uid="{00000000-0005-0000-0000-0000D3020000}"/>
    <cellStyle name="Normal 2 3 2 2 3 5 2 3" xfId="11255" xr:uid="{00000000-0005-0000-0000-0000D4020000}"/>
    <cellStyle name="Normal 2 3 2 2 3 5 3" xfId="3671" xr:uid="{00000000-0005-0000-0000-0000D5020000}"/>
    <cellStyle name="Normal 2 3 2 2 3 5 3 2" xfId="7527" xr:uid="{00000000-0005-0000-0000-0000D6020000}"/>
    <cellStyle name="Normal 2 3 2 2 3 5 3 3" xfId="10013" xr:uid="{00000000-0005-0000-0000-0000D7020000}"/>
    <cellStyle name="Normal 2 3 2 2 3 5 4" xfId="5079" xr:uid="{00000000-0005-0000-0000-0000D8020000}"/>
    <cellStyle name="Normal 2 3 2 2 3 5 5" xfId="8771" xr:uid="{00000000-0005-0000-0000-0000D9020000}"/>
    <cellStyle name="Normal 2 3 2 2 3 6" xfId="1831" xr:uid="{00000000-0005-0000-0000-0000DA020000}"/>
    <cellStyle name="Normal 2 3 2 2 3 6 2" xfId="5691" xr:uid="{00000000-0005-0000-0000-0000DB020000}"/>
    <cellStyle name="Normal 2 3 2 2 3 6 3" xfId="10625" xr:uid="{00000000-0005-0000-0000-0000DC020000}"/>
    <cellStyle name="Normal 2 3 2 2 3 7" xfId="3058" xr:uid="{00000000-0005-0000-0000-0000DD020000}"/>
    <cellStyle name="Normal 2 3 2 2 3 7 2" xfId="6915" xr:uid="{00000000-0005-0000-0000-0000DE020000}"/>
    <cellStyle name="Normal 2 3 2 2 3 7 3" xfId="11831" xr:uid="{00000000-0005-0000-0000-0000DF020000}"/>
    <cellStyle name="Normal 2 3 2 2 3 8" xfId="4467" xr:uid="{00000000-0005-0000-0000-0000E0020000}"/>
    <cellStyle name="Normal 2 3 2 2 3 8 2" xfId="9383" xr:uid="{00000000-0005-0000-0000-0000E1020000}"/>
    <cellStyle name="Normal 2 3 2 2 3 9" xfId="8140" xr:uid="{00000000-0005-0000-0000-0000E2020000}"/>
    <cellStyle name="Normal 2 3 2 2 4" xfId="501" xr:uid="{00000000-0005-0000-0000-0000E3020000}"/>
    <cellStyle name="Normal 2 3 2 2 4 2" xfId="703" xr:uid="{00000000-0005-0000-0000-0000E4020000}"/>
    <cellStyle name="Normal 2 3 2 2 4 2 2" xfId="1053" xr:uid="{00000000-0005-0000-0000-0000E5020000}"/>
    <cellStyle name="Normal 2 3 2 2 4 2 2 2" xfId="1667" xr:uid="{00000000-0005-0000-0000-0000E6020000}"/>
    <cellStyle name="Normal 2 3 2 2 4 2 2 2 2" xfId="2893" xr:uid="{00000000-0005-0000-0000-0000E7020000}"/>
    <cellStyle name="Normal 2 3 2 2 4 2 2 2 2 2" xfId="6753" xr:uid="{00000000-0005-0000-0000-0000E8020000}"/>
    <cellStyle name="Normal 2 3 2 2 4 2 2 2 2 3" xfId="11705" xr:uid="{00000000-0005-0000-0000-0000E9020000}"/>
    <cellStyle name="Normal 2 3 2 2 4 2 2 2 3" xfId="4121" xr:uid="{00000000-0005-0000-0000-0000EA020000}"/>
    <cellStyle name="Normal 2 3 2 2 4 2 2 2 3 2" xfId="7977" xr:uid="{00000000-0005-0000-0000-0000EB020000}"/>
    <cellStyle name="Normal 2 3 2 2 4 2 2 2 3 3" xfId="10463" xr:uid="{00000000-0005-0000-0000-0000EC020000}"/>
    <cellStyle name="Normal 2 3 2 2 4 2 2 2 4" xfId="5529" xr:uid="{00000000-0005-0000-0000-0000ED020000}"/>
    <cellStyle name="Normal 2 3 2 2 4 2 2 2 5" xfId="9221" xr:uid="{00000000-0005-0000-0000-0000EE020000}"/>
    <cellStyle name="Normal 2 3 2 2 4 2 2 3" xfId="2281" xr:uid="{00000000-0005-0000-0000-0000EF020000}"/>
    <cellStyle name="Normal 2 3 2 2 4 2 2 3 2" xfId="6141" xr:uid="{00000000-0005-0000-0000-0000F0020000}"/>
    <cellStyle name="Normal 2 3 2 2 4 2 2 3 3" xfId="11057" xr:uid="{00000000-0005-0000-0000-0000F1020000}"/>
    <cellStyle name="Normal 2 3 2 2 4 2 2 4" xfId="3509" xr:uid="{00000000-0005-0000-0000-0000F2020000}"/>
    <cellStyle name="Normal 2 3 2 2 4 2 2 4 2" xfId="7365" xr:uid="{00000000-0005-0000-0000-0000F3020000}"/>
    <cellStyle name="Normal 2 3 2 2 4 2 2 4 3" xfId="9815" xr:uid="{00000000-0005-0000-0000-0000F4020000}"/>
    <cellStyle name="Normal 2 3 2 2 4 2 2 5" xfId="4917" xr:uid="{00000000-0005-0000-0000-0000F5020000}"/>
    <cellStyle name="Normal 2 3 2 2 4 2 2 6" xfId="8572" xr:uid="{00000000-0005-0000-0000-0000F6020000}"/>
    <cellStyle name="Normal 2 3 2 2 4 2 3" xfId="1361" xr:uid="{00000000-0005-0000-0000-0000F7020000}"/>
    <cellStyle name="Normal 2 3 2 2 4 2 3 2" xfId="2587" xr:uid="{00000000-0005-0000-0000-0000F8020000}"/>
    <cellStyle name="Normal 2 3 2 2 4 2 3 2 2" xfId="6447" xr:uid="{00000000-0005-0000-0000-0000F9020000}"/>
    <cellStyle name="Normal 2 3 2 2 4 2 3 2 3" xfId="11399" xr:uid="{00000000-0005-0000-0000-0000FA020000}"/>
    <cellStyle name="Normal 2 3 2 2 4 2 3 3" xfId="3815" xr:uid="{00000000-0005-0000-0000-0000FB020000}"/>
    <cellStyle name="Normal 2 3 2 2 4 2 3 3 2" xfId="7671" xr:uid="{00000000-0005-0000-0000-0000FC020000}"/>
    <cellStyle name="Normal 2 3 2 2 4 2 3 3 3" xfId="10157" xr:uid="{00000000-0005-0000-0000-0000FD020000}"/>
    <cellStyle name="Normal 2 3 2 2 4 2 3 4" xfId="5223" xr:uid="{00000000-0005-0000-0000-0000FE020000}"/>
    <cellStyle name="Normal 2 3 2 2 4 2 3 5" xfId="8915" xr:uid="{00000000-0005-0000-0000-0000FF020000}"/>
    <cellStyle name="Normal 2 3 2 2 4 2 4" xfId="1975" xr:uid="{00000000-0005-0000-0000-000000030000}"/>
    <cellStyle name="Normal 2 3 2 2 4 2 4 2" xfId="5835" xr:uid="{00000000-0005-0000-0000-000001030000}"/>
    <cellStyle name="Normal 2 3 2 2 4 2 4 3" xfId="10769" xr:uid="{00000000-0005-0000-0000-000002030000}"/>
    <cellStyle name="Normal 2 3 2 2 4 2 5" xfId="3202" xr:uid="{00000000-0005-0000-0000-000003030000}"/>
    <cellStyle name="Normal 2 3 2 2 4 2 5 2" xfId="7059" xr:uid="{00000000-0005-0000-0000-000004030000}"/>
    <cellStyle name="Normal 2 3 2 2 4 2 5 3" xfId="11975" xr:uid="{00000000-0005-0000-0000-000005030000}"/>
    <cellStyle name="Normal 2 3 2 2 4 2 6" xfId="4611" xr:uid="{00000000-0005-0000-0000-000006030000}"/>
    <cellStyle name="Normal 2 3 2 2 4 2 6 2" xfId="9527" xr:uid="{00000000-0005-0000-0000-000007030000}"/>
    <cellStyle name="Normal 2 3 2 2 4 2 7" xfId="8284" xr:uid="{00000000-0005-0000-0000-000008030000}"/>
    <cellStyle name="Normal 2 3 2 2 4 3" xfId="613" xr:uid="{00000000-0005-0000-0000-000009030000}"/>
    <cellStyle name="Normal 2 3 2 2 4 3 2" xfId="963" xr:uid="{00000000-0005-0000-0000-00000A030000}"/>
    <cellStyle name="Normal 2 3 2 2 4 3 2 2" xfId="1577" xr:uid="{00000000-0005-0000-0000-00000B030000}"/>
    <cellStyle name="Normal 2 3 2 2 4 3 2 2 2" xfId="2803" xr:uid="{00000000-0005-0000-0000-00000C030000}"/>
    <cellStyle name="Normal 2 3 2 2 4 3 2 2 2 2" xfId="6663" xr:uid="{00000000-0005-0000-0000-00000D030000}"/>
    <cellStyle name="Normal 2 3 2 2 4 3 2 2 2 3" xfId="11615" xr:uid="{00000000-0005-0000-0000-00000E030000}"/>
    <cellStyle name="Normal 2 3 2 2 4 3 2 2 3" xfId="4031" xr:uid="{00000000-0005-0000-0000-00000F030000}"/>
    <cellStyle name="Normal 2 3 2 2 4 3 2 2 3 2" xfId="7887" xr:uid="{00000000-0005-0000-0000-000010030000}"/>
    <cellStyle name="Normal 2 3 2 2 4 3 2 2 3 3" xfId="10373" xr:uid="{00000000-0005-0000-0000-000011030000}"/>
    <cellStyle name="Normal 2 3 2 2 4 3 2 2 4" xfId="5439" xr:uid="{00000000-0005-0000-0000-000012030000}"/>
    <cellStyle name="Normal 2 3 2 2 4 3 2 2 5" xfId="9131" xr:uid="{00000000-0005-0000-0000-000013030000}"/>
    <cellStyle name="Normal 2 3 2 2 4 3 2 3" xfId="2191" xr:uid="{00000000-0005-0000-0000-000014030000}"/>
    <cellStyle name="Normal 2 3 2 2 4 3 2 3 2" xfId="6051" xr:uid="{00000000-0005-0000-0000-000015030000}"/>
    <cellStyle name="Normal 2 3 2 2 4 3 2 3 3" xfId="10967" xr:uid="{00000000-0005-0000-0000-000016030000}"/>
    <cellStyle name="Normal 2 3 2 2 4 3 2 4" xfId="3419" xr:uid="{00000000-0005-0000-0000-000017030000}"/>
    <cellStyle name="Normal 2 3 2 2 4 3 2 4 2" xfId="7275" xr:uid="{00000000-0005-0000-0000-000018030000}"/>
    <cellStyle name="Normal 2 3 2 2 4 3 2 4 3" xfId="9725" xr:uid="{00000000-0005-0000-0000-000019030000}"/>
    <cellStyle name="Normal 2 3 2 2 4 3 2 5" xfId="4827" xr:uid="{00000000-0005-0000-0000-00001A030000}"/>
    <cellStyle name="Normal 2 3 2 2 4 3 2 6" xfId="8482" xr:uid="{00000000-0005-0000-0000-00001B030000}"/>
    <cellStyle name="Normal 2 3 2 2 4 3 3" xfId="1271" xr:uid="{00000000-0005-0000-0000-00001C030000}"/>
    <cellStyle name="Normal 2 3 2 2 4 3 3 2" xfId="2497" xr:uid="{00000000-0005-0000-0000-00001D030000}"/>
    <cellStyle name="Normal 2 3 2 2 4 3 3 2 2" xfId="6357" xr:uid="{00000000-0005-0000-0000-00001E030000}"/>
    <cellStyle name="Normal 2 3 2 2 4 3 3 2 3" xfId="11309" xr:uid="{00000000-0005-0000-0000-00001F030000}"/>
    <cellStyle name="Normal 2 3 2 2 4 3 3 3" xfId="3725" xr:uid="{00000000-0005-0000-0000-000020030000}"/>
    <cellStyle name="Normal 2 3 2 2 4 3 3 3 2" xfId="7581" xr:uid="{00000000-0005-0000-0000-000021030000}"/>
    <cellStyle name="Normal 2 3 2 2 4 3 3 3 3" xfId="10067" xr:uid="{00000000-0005-0000-0000-000022030000}"/>
    <cellStyle name="Normal 2 3 2 2 4 3 3 4" xfId="5133" xr:uid="{00000000-0005-0000-0000-000023030000}"/>
    <cellStyle name="Normal 2 3 2 2 4 3 3 5" xfId="8825" xr:uid="{00000000-0005-0000-0000-000024030000}"/>
    <cellStyle name="Normal 2 3 2 2 4 3 4" xfId="1885" xr:uid="{00000000-0005-0000-0000-000025030000}"/>
    <cellStyle name="Normal 2 3 2 2 4 3 4 2" xfId="5745" xr:uid="{00000000-0005-0000-0000-000026030000}"/>
    <cellStyle name="Normal 2 3 2 2 4 3 4 3" xfId="10679" xr:uid="{00000000-0005-0000-0000-000027030000}"/>
    <cellStyle name="Normal 2 3 2 2 4 3 5" xfId="3112" xr:uid="{00000000-0005-0000-0000-000028030000}"/>
    <cellStyle name="Normal 2 3 2 2 4 3 5 2" xfId="6969" xr:uid="{00000000-0005-0000-0000-000029030000}"/>
    <cellStyle name="Normal 2 3 2 2 4 3 5 3" xfId="11885" xr:uid="{00000000-0005-0000-0000-00002A030000}"/>
    <cellStyle name="Normal 2 3 2 2 4 3 6" xfId="4521" xr:uid="{00000000-0005-0000-0000-00002B030000}"/>
    <cellStyle name="Normal 2 3 2 2 4 3 6 2" xfId="9437" xr:uid="{00000000-0005-0000-0000-00002C030000}"/>
    <cellStyle name="Normal 2 3 2 2 4 3 7" xfId="8194" xr:uid="{00000000-0005-0000-0000-00002D030000}"/>
    <cellStyle name="Normal 2 3 2 2 4 4" xfId="851" xr:uid="{00000000-0005-0000-0000-00002E030000}"/>
    <cellStyle name="Normal 2 3 2 2 4 4 2" xfId="1487" xr:uid="{00000000-0005-0000-0000-00002F030000}"/>
    <cellStyle name="Normal 2 3 2 2 4 4 2 2" xfId="2713" xr:uid="{00000000-0005-0000-0000-000030030000}"/>
    <cellStyle name="Normal 2 3 2 2 4 4 2 2 2" xfId="6573" xr:uid="{00000000-0005-0000-0000-000031030000}"/>
    <cellStyle name="Normal 2 3 2 2 4 4 2 2 3" xfId="11525" xr:uid="{00000000-0005-0000-0000-000032030000}"/>
    <cellStyle name="Normal 2 3 2 2 4 4 2 3" xfId="3941" xr:uid="{00000000-0005-0000-0000-000033030000}"/>
    <cellStyle name="Normal 2 3 2 2 4 4 2 3 2" xfId="7797" xr:uid="{00000000-0005-0000-0000-000034030000}"/>
    <cellStyle name="Normal 2 3 2 2 4 4 2 3 3" xfId="10283" xr:uid="{00000000-0005-0000-0000-000035030000}"/>
    <cellStyle name="Normal 2 3 2 2 4 4 2 4" xfId="5349" xr:uid="{00000000-0005-0000-0000-000036030000}"/>
    <cellStyle name="Normal 2 3 2 2 4 4 2 5" xfId="9041" xr:uid="{00000000-0005-0000-0000-000037030000}"/>
    <cellStyle name="Normal 2 3 2 2 4 4 3" xfId="2101" xr:uid="{00000000-0005-0000-0000-000038030000}"/>
    <cellStyle name="Normal 2 3 2 2 4 4 3 2" xfId="5961" xr:uid="{00000000-0005-0000-0000-000039030000}"/>
    <cellStyle name="Normal 2 3 2 2 4 4 3 3" xfId="10877" xr:uid="{00000000-0005-0000-0000-00003A030000}"/>
    <cellStyle name="Normal 2 3 2 2 4 4 4" xfId="3329" xr:uid="{00000000-0005-0000-0000-00003B030000}"/>
    <cellStyle name="Normal 2 3 2 2 4 4 4 2" xfId="7185" xr:uid="{00000000-0005-0000-0000-00003C030000}"/>
    <cellStyle name="Normal 2 3 2 2 4 4 4 3" xfId="9635" xr:uid="{00000000-0005-0000-0000-00003D030000}"/>
    <cellStyle name="Normal 2 3 2 2 4 4 5" xfId="4737" xr:uid="{00000000-0005-0000-0000-00003E030000}"/>
    <cellStyle name="Normal 2 3 2 2 4 4 6" xfId="8392" xr:uid="{00000000-0005-0000-0000-00003F030000}"/>
    <cellStyle name="Normal 2 3 2 2 4 5" xfId="1181" xr:uid="{00000000-0005-0000-0000-000040030000}"/>
    <cellStyle name="Normal 2 3 2 2 4 5 2" xfId="2407" xr:uid="{00000000-0005-0000-0000-000041030000}"/>
    <cellStyle name="Normal 2 3 2 2 4 5 2 2" xfId="6267" xr:uid="{00000000-0005-0000-0000-000042030000}"/>
    <cellStyle name="Normal 2 3 2 2 4 5 2 3" xfId="11219" xr:uid="{00000000-0005-0000-0000-000043030000}"/>
    <cellStyle name="Normal 2 3 2 2 4 5 3" xfId="3635" xr:uid="{00000000-0005-0000-0000-000044030000}"/>
    <cellStyle name="Normal 2 3 2 2 4 5 3 2" xfId="7491" xr:uid="{00000000-0005-0000-0000-000045030000}"/>
    <cellStyle name="Normal 2 3 2 2 4 5 3 3" xfId="9977" xr:uid="{00000000-0005-0000-0000-000046030000}"/>
    <cellStyle name="Normal 2 3 2 2 4 5 4" xfId="5043" xr:uid="{00000000-0005-0000-0000-000047030000}"/>
    <cellStyle name="Normal 2 3 2 2 4 5 5" xfId="8735" xr:uid="{00000000-0005-0000-0000-000048030000}"/>
    <cellStyle name="Normal 2 3 2 2 4 6" xfId="1795" xr:uid="{00000000-0005-0000-0000-000049030000}"/>
    <cellStyle name="Normal 2 3 2 2 4 6 2" xfId="5655" xr:uid="{00000000-0005-0000-0000-00004A030000}"/>
    <cellStyle name="Normal 2 3 2 2 4 6 3" xfId="10589" xr:uid="{00000000-0005-0000-0000-00004B030000}"/>
    <cellStyle name="Normal 2 3 2 2 4 7" xfId="3022" xr:uid="{00000000-0005-0000-0000-00004C030000}"/>
    <cellStyle name="Normal 2 3 2 2 4 7 2" xfId="6879" xr:uid="{00000000-0005-0000-0000-00004D030000}"/>
    <cellStyle name="Normal 2 3 2 2 4 7 3" xfId="11795" xr:uid="{00000000-0005-0000-0000-00004E030000}"/>
    <cellStyle name="Normal 2 3 2 2 4 8" xfId="4431" xr:uid="{00000000-0005-0000-0000-00004F030000}"/>
    <cellStyle name="Normal 2 3 2 2 4 8 2" xfId="9347" xr:uid="{00000000-0005-0000-0000-000050030000}"/>
    <cellStyle name="Normal 2 3 2 2 4 9" xfId="8104" xr:uid="{00000000-0005-0000-0000-000051030000}"/>
    <cellStyle name="Normal 2 3 2 2 5" xfId="685" xr:uid="{00000000-0005-0000-0000-000052030000}"/>
    <cellStyle name="Normal 2 3 2 2 5 2" xfId="1035" xr:uid="{00000000-0005-0000-0000-000053030000}"/>
    <cellStyle name="Normal 2 3 2 2 5 2 2" xfId="1649" xr:uid="{00000000-0005-0000-0000-000054030000}"/>
    <cellStyle name="Normal 2 3 2 2 5 2 2 2" xfId="2875" xr:uid="{00000000-0005-0000-0000-000055030000}"/>
    <cellStyle name="Normal 2 3 2 2 5 2 2 2 2" xfId="6735" xr:uid="{00000000-0005-0000-0000-000056030000}"/>
    <cellStyle name="Normal 2 3 2 2 5 2 2 2 3" xfId="11687" xr:uid="{00000000-0005-0000-0000-000057030000}"/>
    <cellStyle name="Normal 2 3 2 2 5 2 2 3" xfId="4103" xr:uid="{00000000-0005-0000-0000-000058030000}"/>
    <cellStyle name="Normal 2 3 2 2 5 2 2 3 2" xfId="7959" xr:uid="{00000000-0005-0000-0000-000059030000}"/>
    <cellStyle name="Normal 2 3 2 2 5 2 2 3 3" xfId="10445" xr:uid="{00000000-0005-0000-0000-00005A030000}"/>
    <cellStyle name="Normal 2 3 2 2 5 2 2 4" xfId="5511" xr:uid="{00000000-0005-0000-0000-00005B030000}"/>
    <cellStyle name="Normal 2 3 2 2 5 2 2 5" xfId="9203" xr:uid="{00000000-0005-0000-0000-00005C030000}"/>
    <cellStyle name="Normal 2 3 2 2 5 2 3" xfId="2263" xr:uid="{00000000-0005-0000-0000-00005D030000}"/>
    <cellStyle name="Normal 2 3 2 2 5 2 3 2" xfId="6123" xr:uid="{00000000-0005-0000-0000-00005E030000}"/>
    <cellStyle name="Normal 2 3 2 2 5 2 3 3" xfId="11039" xr:uid="{00000000-0005-0000-0000-00005F030000}"/>
    <cellStyle name="Normal 2 3 2 2 5 2 4" xfId="3491" xr:uid="{00000000-0005-0000-0000-000060030000}"/>
    <cellStyle name="Normal 2 3 2 2 5 2 4 2" xfId="7347" xr:uid="{00000000-0005-0000-0000-000061030000}"/>
    <cellStyle name="Normal 2 3 2 2 5 2 4 3" xfId="9797" xr:uid="{00000000-0005-0000-0000-000062030000}"/>
    <cellStyle name="Normal 2 3 2 2 5 2 5" xfId="4899" xr:uid="{00000000-0005-0000-0000-000063030000}"/>
    <cellStyle name="Normal 2 3 2 2 5 2 6" xfId="8554" xr:uid="{00000000-0005-0000-0000-000064030000}"/>
    <cellStyle name="Normal 2 3 2 2 5 3" xfId="1343" xr:uid="{00000000-0005-0000-0000-000065030000}"/>
    <cellStyle name="Normal 2 3 2 2 5 3 2" xfId="2569" xr:uid="{00000000-0005-0000-0000-000066030000}"/>
    <cellStyle name="Normal 2 3 2 2 5 3 2 2" xfId="6429" xr:uid="{00000000-0005-0000-0000-000067030000}"/>
    <cellStyle name="Normal 2 3 2 2 5 3 2 3" xfId="11381" xr:uid="{00000000-0005-0000-0000-000068030000}"/>
    <cellStyle name="Normal 2 3 2 2 5 3 3" xfId="3797" xr:uid="{00000000-0005-0000-0000-000069030000}"/>
    <cellStyle name="Normal 2 3 2 2 5 3 3 2" xfId="7653" xr:uid="{00000000-0005-0000-0000-00006A030000}"/>
    <cellStyle name="Normal 2 3 2 2 5 3 3 3" xfId="10139" xr:uid="{00000000-0005-0000-0000-00006B030000}"/>
    <cellStyle name="Normal 2 3 2 2 5 3 4" xfId="5205" xr:uid="{00000000-0005-0000-0000-00006C030000}"/>
    <cellStyle name="Normal 2 3 2 2 5 3 5" xfId="8897" xr:uid="{00000000-0005-0000-0000-00006D030000}"/>
    <cellStyle name="Normal 2 3 2 2 5 4" xfId="1957" xr:uid="{00000000-0005-0000-0000-00006E030000}"/>
    <cellStyle name="Normal 2 3 2 2 5 4 2" xfId="5817" xr:uid="{00000000-0005-0000-0000-00006F030000}"/>
    <cellStyle name="Normal 2 3 2 2 5 4 3" xfId="10751" xr:uid="{00000000-0005-0000-0000-000070030000}"/>
    <cellStyle name="Normal 2 3 2 2 5 5" xfId="3184" xr:uid="{00000000-0005-0000-0000-000071030000}"/>
    <cellStyle name="Normal 2 3 2 2 5 5 2" xfId="7041" xr:uid="{00000000-0005-0000-0000-000072030000}"/>
    <cellStyle name="Normal 2 3 2 2 5 5 3" xfId="11957" xr:uid="{00000000-0005-0000-0000-000073030000}"/>
    <cellStyle name="Normal 2 3 2 2 5 6" xfId="4593" xr:uid="{00000000-0005-0000-0000-000074030000}"/>
    <cellStyle name="Normal 2 3 2 2 5 6 2" xfId="9509" xr:uid="{00000000-0005-0000-0000-000075030000}"/>
    <cellStyle name="Normal 2 3 2 2 5 7" xfId="8266" xr:uid="{00000000-0005-0000-0000-000076030000}"/>
    <cellStyle name="Normal 2 3 2 2 6" xfId="595" xr:uid="{00000000-0005-0000-0000-000077030000}"/>
    <cellStyle name="Normal 2 3 2 2 6 2" xfId="945" xr:uid="{00000000-0005-0000-0000-000078030000}"/>
    <cellStyle name="Normal 2 3 2 2 6 2 2" xfId="1559" xr:uid="{00000000-0005-0000-0000-000079030000}"/>
    <cellStyle name="Normal 2 3 2 2 6 2 2 2" xfId="2785" xr:uid="{00000000-0005-0000-0000-00007A030000}"/>
    <cellStyle name="Normal 2 3 2 2 6 2 2 2 2" xfId="6645" xr:uid="{00000000-0005-0000-0000-00007B030000}"/>
    <cellStyle name="Normal 2 3 2 2 6 2 2 2 3" xfId="11597" xr:uid="{00000000-0005-0000-0000-00007C030000}"/>
    <cellStyle name="Normal 2 3 2 2 6 2 2 3" xfId="4013" xr:uid="{00000000-0005-0000-0000-00007D030000}"/>
    <cellStyle name="Normal 2 3 2 2 6 2 2 3 2" xfId="7869" xr:uid="{00000000-0005-0000-0000-00007E030000}"/>
    <cellStyle name="Normal 2 3 2 2 6 2 2 3 3" xfId="10355" xr:uid="{00000000-0005-0000-0000-00007F030000}"/>
    <cellStyle name="Normal 2 3 2 2 6 2 2 4" xfId="5421" xr:uid="{00000000-0005-0000-0000-000080030000}"/>
    <cellStyle name="Normal 2 3 2 2 6 2 2 5" xfId="9113" xr:uid="{00000000-0005-0000-0000-000081030000}"/>
    <cellStyle name="Normal 2 3 2 2 6 2 3" xfId="2173" xr:uid="{00000000-0005-0000-0000-000082030000}"/>
    <cellStyle name="Normal 2 3 2 2 6 2 3 2" xfId="6033" xr:uid="{00000000-0005-0000-0000-000083030000}"/>
    <cellStyle name="Normal 2 3 2 2 6 2 3 3" xfId="10949" xr:uid="{00000000-0005-0000-0000-000084030000}"/>
    <cellStyle name="Normal 2 3 2 2 6 2 4" xfId="3401" xr:uid="{00000000-0005-0000-0000-000085030000}"/>
    <cellStyle name="Normal 2 3 2 2 6 2 4 2" xfId="7257" xr:uid="{00000000-0005-0000-0000-000086030000}"/>
    <cellStyle name="Normal 2 3 2 2 6 2 4 3" xfId="9707" xr:uid="{00000000-0005-0000-0000-000087030000}"/>
    <cellStyle name="Normal 2 3 2 2 6 2 5" xfId="4809" xr:uid="{00000000-0005-0000-0000-000088030000}"/>
    <cellStyle name="Normal 2 3 2 2 6 2 6" xfId="8464" xr:uid="{00000000-0005-0000-0000-000089030000}"/>
    <cellStyle name="Normal 2 3 2 2 6 3" xfId="1253" xr:uid="{00000000-0005-0000-0000-00008A030000}"/>
    <cellStyle name="Normal 2 3 2 2 6 3 2" xfId="2479" xr:uid="{00000000-0005-0000-0000-00008B030000}"/>
    <cellStyle name="Normal 2 3 2 2 6 3 2 2" xfId="6339" xr:uid="{00000000-0005-0000-0000-00008C030000}"/>
    <cellStyle name="Normal 2 3 2 2 6 3 2 3" xfId="11291" xr:uid="{00000000-0005-0000-0000-00008D030000}"/>
    <cellStyle name="Normal 2 3 2 2 6 3 3" xfId="3707" xr:uid="{00000000-0005-0000-0000-00008E030000}"/>
    <cellStyle name="Normal 2 3 2 2 6 3 3 2" xfId="7563" xr:uid="{00000000-0005-0000-0000-00008F030000}"/>
    <cellStyle name="Normal 2 3 2 2 6 3 3 3" xfId="10049" xr:uid="{00000000-0005-0000-0000-000090030000}"/>
    <cellStyle name="Normal 2 3 2 2 6 3 4" xfId="5115" xr:uid="{00000000-0005-0000-0000-000091030000}"/>
    <cellStyle name="Normal 2 3 2 2 6 3 5" xfId="8807" xr:uid="{00000000-0005-0000-0000-000092030000}"/>
    <cellStyle name="Normal 2 3 2 2 6 4" xfId="1867" xr:uid="{00000000-0005-0000-0000-000093030000}"/>
    <cellStyle name="Normal 2 3 2 2 6 4 2" xfId="5727" xr:uid="{00000000-0005-0000-0000-000094030000}"/>
    <cellStyle name="Normal 2 3 2 2 6 4 3" xfId="10661" xr:uid="{00000000-0005-0000-0000-000095030000}"/>
    <cellStyle name="Normal 2 3 2 2 6 5" xfId="3094" xr:uid="{00000000-0005-0000-0000-000096030000}"/>
    <cellStyle name="Normal 2 3 2 2 6 5 2" xfId="6951" xr:uid="{00000000-0005-0000-0000-000097030000}"/>
    <cellStyle name="Normal 2 3 2 2 6 5 3" xfId="11867" xr:uid="{00000000-0005-0000-0000-000098030000}"/>
    <cellStyle name="Normal 2 3 2 2 6 6" xfId="4503" xr:uid="{00000000-0005-0000-0000-000099030000}"/>
    <cellStyle name="Normal 2 3 2 2 6 6 2" xfId="9419" xr:uid="{00000000-0005-0000-0000-00009A030000}"/>
    <cellStyle name="Normal 2 3 2 2 6 7" xfId="8176" xr:uid="{00000000-0005-0000-0000-00009B030000}"/>
    <cellStyle name="Normal 2 3 2 2 7" xfId="481" xr:uid="{00000000-0005-0000-0000-00009C030000}"/>
    <cellStyle name="Normal 2 3 2 2 7 2" xfId="831" xr:uid="{00000000-0005-0000-0000-00009D030000}"/>
    <cellStyle name="Normal 2 3 2 2 7 2 2" xfId="1469" xr:uid="{00000000-0005-0000-0000-00009E030000}"/>
    <cellStyle name="Normal 2 3 2 2 7 2 2 2" xfId="2695" xr:uid="{00000000-0005-0000-0000-00009F030000}"/>
    <cellStyle name="Normal 2 3 2 2 7 2 2 2 2" xfId="6555" xr:uid="{00000000-0005-0000-0000-0000A0030000}"/>
    <cellStyle name="Normal 2 3 2 2 7 2 2 2 3" xfId="11507" xr:uid="{00000000-0005-0000-0000-0000A1030000}"/>
    <cellStyle name="Normal 2 3 2 2 7 2 2 3" xfId="3923" xr:uid="{00000000-0005-0000-0000-0000A2030000}"/>
    <cellStyle name="Normal 2 3 2 2 7 2 2 3 2" xfId="7779" xr:uid="{00000000-0005-0000-0000-0000A3030000}"/>
    <cellStyle name="Normal 2 3 2 2 7 2 2 3 3" xfId="10265" xr:uid="{00000000-0005-0000-0000-0000A4030000}"/>
    <cellStyle name="Normal 2 3 2 2 7 2 2 4" xfId="5331" xr:uid="{00000000-0005-0000-0000-0000A5030000}"/>
    <cellStyle name="Normal 2 3 2 2 7 2 2 5" xfId="9023" xr:uid="{00000000-0005-0000-0000-0000A6030000}"/>
    <cellStyle name="Normal 2 3 2 2 7 2 3" xfId="2083" xr:uid="{00000000-0005-0000-0000-0000A7030000}"/>
    <cellStyle name="Normal 2 3 2 2 7 2 3 2" xfId="5943" xr:uid="{00000000-0005-0000-0000-0000A8030000}"/>
    <cellStyle name="Normal 2 3 2 2 7 2 3 3" xfId="10859" xr:uid="{00000000-0005-0000-0000-0000A9030000}"/>
    <cellStyle name="Normal 2 3 2 2 7 2 4" xfId="3311" xr:uid="{00000000-0005-0000-0000-0000AA030000}"/>
    <cellStyle name="Normal 2 3 2 2 7 2 4 2" xfId="7167" xr:uid="{00000000-0005-0000-0000-0000AB030000}"/>
    <cellStyle name="Normal 2 3 2 2 7 2 4 3" xfId="9617" xr:uid="{00000000-0005-0000-0000-0000AC030000}"/>
    <cellStyle name="Normal 2 3 2 2 7 2 5" xfId="4719" xr:uid="{00000000-0005-0000-0000-0000AD030000}"/>
    <cellStyle name="Normal 2 3 2 2 7 2 6" xfId="8374" xr:uid="{00000000-0005-0000-0000-0000AE030000}"/>
    <cellStyle name="Normal 2 3 2 2 7 3" xfId="1163" xr:uid="{00000000-0005-0000-0000-0000AF030000}"/>
    <cellStyle name="Normal 2 3 2 2 7 3 2" xfId="2389" xr:uid="{00000000-0005-0000-0000-0000B0030000}"/>
    <cellStyle name="Normal 2 3 2 2 7 3 2 2" xfId="6249" xr:uid="{00000000-0005-0000-0000-0000B1030000}"/>
    <cellStyle name="Normal 2 3 2 2 7 3 2 3" xfId="11201" xr:uid="{00000000-0005-0000-0000-0000B2030000}"/>
    <cellStyle name="Normal 2 3 2 2 7 3 3" xfId="3617" xr:uid="{00000000-0005-0000-0000-0000B3030000}"/>
    <cellStyle name="Normal 2 3 2 2 7 3 3 2" xfId="7473" xr:uid="{00000000-0005-0000-0000-0000B4030000}"/>
    <cellStyle name="Normal 2 3 2 2 7 3 3 3" xfId="9959" xr:uid="{00000000-0005-0000-0000-0000B5030000}"/>
    <cellStyle name="Normal 2 3 2 2 7 3 4" xfId="5025" xr:uid="{00000000-0005-0000-0000-0000B6030000}"/>
    <cellStyle name="Normal 2 3 2 2 7 3 5" xfId="8717" xr:uid="{00000000-0005-0000-0000-0000B7030000}"/>
    <cellStyle name="Normal 2 3 2 2 7 4" xfId="1777" xr:uid="{00000000-0005-0000-0000-0000B8030000}"/>
    <cellStyle name="Normal 2 3 2 2 7 4 2" xfId="5637" xr:uid="{00000000-0005-0000-0000-0000B9030000}"/>
    <cellStyle name="Normal 2 3 2 2 7 4 3" xfId="10571" xr:uid="{00000000-0005-0000-0000-0000BA030000}"/>
    <cellStyle name="Normal 2 3 2 2 7 5" xfId="3004" xr:uid="{00000000-0005-0000-0000-0000BB030000}"/>
    <cellStyle name="Normal 2 3 2 2 7 5 2" xfId="6861" xr:uid="{00000000-0005-0000-0000-0000BC030000}"/>
    <cellStyle name="Normal 2 3 2 2 7 5 3" xfId="12047" xr:uid="{00000000-0005-0000-0000-0000BD030000}"/>
    <cellStyle name="Normal 2 3 2 2 7 6" xfId="4413" xr:uid="{00000000-0005-0000-0000-0000BE030000}"/>
    <cellStyle name="Normal 2 3 2 2 7 6 2" xfId="9329" xr:uid="{00000000-0005-0000-0000-0000BF030000}"/>
    <cellStyle name="Normal 2 3 2 2 7 7" xfId="8086" xr:uid="{00000000-0005-0000-0000-0000C0030000}"/>
    <cellStyle name="Normal 2 3 2 2 8" xfId="793" xr:uid="{00000000-0005-0000-0000-0000C1030000}"/>
    <cellStyle name="Normal 2 3 2 2 8 2" xfId="1433" xr:uid="{00000000-0005-0000-0000-0000C2030000}"/>
    <cellStyle name="Normal 2 3 2 2 8 2 2" xfId="2659" xr:uid="{00000000-0005-0000-0000-0000C3030000}"/>
    <cellStyle name="Normal 2 3 2 2 8 2 2 2" xfId="6519" xr:uid="{00000000-0005-0000-0000-0000C4030000}"/>
    <cellStyle name="Normal 2 3 2 2 8 2 2 3" xfId="11471" xr:uid="{00000000-0005-0000-0000-0000C5030000}"/>
    <cellStyle name="Normal 2 3 2 2 8 2 3" xfId="3887" xr:uid="{00000000-0005-0000-0000-0000C6030000}"/>
    <cellStyle name="Normal 2 3 2 2 8 2 3 2" xfId="7743" xr:uid="{00000000-0005-0000-0000-0000C7030000}"/>
    <cellStyle name="Normal 2 3 2 2 8 2 3 3" xfId="10229" xr:uid="{00000000-0005-0000-0000-0000C8030000}"/>
    <cellStyle name="Normal 2 3 2 2 8 2 4" xfId="5295" xr:uid="{00000000-0005-0000-0000-0000C9030000}"/>
    <cellStyle name="Normal 2 3 2 2 8 2 5" xfId="8987" xr:uid="{00000000-0005-0000-0000-0000CA030000}"/>
    <cellStyle name="Normal 2 3 2 2 8 3" xfId="2047" xr:uid="{00000000-0005-0000-0000-0000CB030000}"/>
    <cellStyle name="Normal 2 3 2 2 8 3 2" xfId="5907" xr:uid="{00000000-0005-0000-0000-0000CC030000}"/>
    <cellStyle name="Normal 2 3 2 2 8 3 3" xfId="10841" xr:uid="{00000000-0005-0000-0000-0000CD030000}"/>
    <cellStyle name="Normal 2 3 2 2 8 4" xfId="3275" xr:uid="{00000000-0005-0000-0000-0000CE030000}"/>
    <cellStyle name="Normal 2 3 2 2 8 4 2" xfId="7131" xr:uid="{00000000-0005-0000-0000-0000CF030000}"/>
    <cellStyle name="Normal 2 3 2 2 8 4 3" xfId="9599" xr:uid="{00000000-0005-0000-0000-0000D0030000}"/>
    <cellStyle name="Normal 2 3 2 2 8 5" xfId="4683" xr:uid="{00000000-0005-0000-0000-0000D1030000}"/>
    <cellStyle name="Normal 2 3 2 2 8 6" xfId="8356" xr:uid="{00000000-0005-0000-0000-0000D2030000}"/>
    <cellStyle name="Normal 2 3 2 2 9" xfId="1127" xr:uid="{00000000-0005-0000-0000-0000D3030000}"/>
    <cellStyle name="Normal 2 3 2 2 9 2" xfId="2353" xr:uid="{00000000-0005-0000-0000-0000D4030000}"/>
    <cellStyle name="Normal 2 3 2 2 9 2 2" xfId="6213" xr:uid="{00000000-0005-0000-0000-0000D5030000}"/>
    <cellStyle name="Normal 2 3 2 2 9 2 3" xfId="11165" xr:uid="{00000000-0005-0000-0000-0000D6030000}"/>
    <cellStyle name="Normal 2 3 2 2 9 3" xfId="3581" xr:uid="{00000000-0005-0000-0000-0000D7030000}"/>
    <cellStyle name="Normal 2 3 2 2 9 3 2" xfId="7437" xr:uid="{00000000-0005-0000-0000-0000D8030000}"/>
    <cellStyle name="Normal 2 3 2 2 9 3 3" xfId="9923" xr:uid="{00000000-0005-0000-0000-0000D9030000}"/>
    <cellStyle name="Normal 2 3 2 2 9 4" xfId="4989" xr:uid="{00000000-0005-0000-0000-0000DA030000}"/>
    <cellStyle name="Normal 2 3 2 2 9 5" xfId="8681" xr:uid="{00000000-0005-0000-0000-0000DB030000}"/>
    <cellStyle name="Normal 2 3 2 3" xfId="462" xr:uid="{00000000-0005-0000-0000-0000DC030000}"/>
    <cellStyle name="Normal 2 3 2 3 10" xfId="4394" xr:uid="{00000000-0005-0000-0000-0000DD030000}"/>
    <cellStyle name="Normal 2 3 2 3 10 2" xfId="9310" xr:uid="{00000000-0005-0000-0000-0000DE030000}"/>
    <cellStyle name="Normal 2 3 2 3 11" xfId="8067" xr:uid="{00000000-0005-0000-0000-0000DF030000}"/>
    <cellStyle name="Normal 2 3 2 3 2" xfId="575" xr:uid="{00000000-0005-0000-0000-0000E0030000}"/>
    <cellStyle name="Normal 2 3 2 3 2 2" xfId="756" xr:uid="{00000000-0005-0000-0000-0000E1030000}"/>
    <cellStyle name="Normal 2 3 2 3 2 2 2" xfId="1106" xr:uid="{00000000-0005-0000-0000-0000E2030000}"/>
    <cellStyle name="Normal 2 3 2 3 2 2 2 2" xfId="1720" xr:uid="{00000000-0005-0000-0000-0000E3030000}"/>
    <cellStyle name="Normal 2 3 2 3 2 2 2 2 2" xfId="2946" xr:uid="{00000000-0005-0000-0000-0000E4030000}"/>
    <cellStyle name="Normal 2 3 2 3 2 2 2 2 2 2" xfId="6806" xr:uid="{00000000-0005-0000-0000-0000E5030000}"/>
    <cellStyle name="Normal 2 3 2 3 2 2 2 2 2 3" xfId="11758" xr:uid="{00000000-0005-0000-0000-0000E6030000}"/>
    <cellStyle name="Normal 2 3 2 3 2 2 2 2 3" xfId="4174" xr:uid="{00000000-0005-0000-0000-0000E7030000}"/>
    <cellStyle name="Normal 2 3 2 3 2 2 2 2 3 2" xfId="8030" xr:uid="{00000000-0005-0000-0000-0000E8030000}"/>
    <cellStyle name="Normal 2 3 2 3 2 2 2 2 3 3" xfId="10516" xr:uid="{00000000-0005-0000-0000-0000E9030000}"/>
    <cellStyle name="Normal 2 3 2 3 2 2 2 2 4" xfId="5582" xr:uid="{00000000-0005-0000-0000-0000EA030000}"/>
    <cellStyle name="Normal 2 3 2 3 2 2 2 2 5" xfId="9274" xr:uid="{00000000-0005-0000-0000-0000EB030000}"/>
    <cellStyle name="Normal 2 3 2 3 2 2 2 3" xfId="2334" xr:uid="{00000000-0005-0000-0000-0000EC030000}"/>
    <cellStyle name="Normal 2 3 2 3 2 2 2 3 2" xfId="6194" xr:uid="{00000000-0005-0000-0000-0000ED030000}"/>
    <cellStyle name="Normal 2 3 2 3 2 2 2 3 3" xfId="11110" xr:uid="{00000000-0005-0000-0000-0000EE030000}"/>
    <cellStyle name="Normal 2 3 2 3 2 2 2 4" xfId="3562" xr:uid="{00000000-0005-0000-0000-0000EF030000}"/>
    <cellStyle name="Normal 2 3 2 3 2 2 2 4 2" xfId="7418" xr:uid="{00000000-0005-0000-0000-0000F0030000}"/>
    <cellStyle name="Normal 2 3 2 3 2 2 2 4 3" xfId="9868" xr:uid="{00000000-0005-0000-0000-0000F1030000}"/>
    <cellStyle name="Normal 2 3 2 3 2 2 2 5" xfId="4970" xr:uid="{00000000-0005-0000-0000-0000F2030000}"/>
    <cellStyle name="Normal 2 3 2 3 2 2 2 6" xfId="8625" xr:uid="{00000000-0005-0000-0000-0000F3030000}"/>
    <cellStyle name="Normal 2 3 2 3 2 2 3" xfId="1414" xr:uid="{00000000-0005-0000-0000-0000F4030000}"/>
    <cellStyle name="Normal 2 3 2 3 2 2 3 2" xfId="2640" xr:uid="{00000000-0005-0000-0000-0000F5030000}"/>
    <cellStyle name="Normal 2 3 2 3 2 2 3 2 2" xfId="6500" xr:uid="{00000000-0005-0000-0000-0000F6030000}"/>
    <cellStyle name="Normal 2 3 2 3 2 2 3 2 3" xfId="11452" xr:uid="{00000000-0005-0000-0000-0000F7030000}"/>
    <cellStyle name="Normal 2 3 2 3 2 2 3 3" xfId="3868" xr:uid="{00000000-0005-0000-0000-0000F8030000}"/>
    <cellStyle name="Normal 2 3 2 3 2 2 3 3 2" xfId="7724" xr:uid="{00000000-0005-0000-0000-0000F9030000}"/>
    <cellStyle name="Normal 2 3 2 3 2 2 3 3 3" xfId="10210" xr:uid="{00000000-0005-0000-0000-0000FA030000}"/>
    <cellStyle name="Normal 2 3 2 3 2 2 3 4" xfId="5276" xr:uid="{00000000-0005-0000-0000-0000FB030000}"/>
    <cellStyle name="Normal 2 3 2 3 2 2 3 5" xfId="8968" xr:uid="{00000000-0005-0000-0000-0000FC030000}"/>
    <cellStyle name="Normal 2 3 2 3 2 2 4" xfId="2028" xr:uid="{00000000-0005-0000-0000-0000FD030000}"/>
    <cellStyle name="Normal 2 3 2 3 2 2 4 2" xfId="5888" xr:uid="{00000000-0005-0000-0000-0000FE030000}"/>
    <cellStyle name="Normal 2 3 2 3 2 2 4 3" xfId="10822" xr:uid="{00000000-0005-0000-0000-0000FF030000}"/>
    <cellStyle name="Normal 2 3 2 3 2 2 5" xfId="3255" xr:uid="{00000000-0005-0000-0000-000000040000}"/>
    <cellStyle name="Normal 2 3 2 3 2 2 5 2" xfId="7112" xr:uid="{00000000-0005-0000-0000-000001040000}"/>
    <cellStyle name="Normal 2 3 2 3 2 2 5 3" xfId="12028" xr:uid="{00000000-0005-0000-0000-000002040000}"/>
    <cellStyle name="Normal 2 3 2 3 2 2 6" xfId="4664" xr:uid="{00000000-0005-0000-0000-000003040000}"/>
    <cellStyle name="Normal 2 3 2 3 2 2 6 2" xfId="9580" xr:uid="{00000000-0005-0000-0000-000004040000}"/>
    <cellStyle name="Normal 2 3 2 3 2 2 7" xfId="8337" xr:uid="{00000000-0005-0000-0000-000005040000}"/>
    <cellStyle name="Normal 2 3 2 3 2 3" xfId="666" xr:uid="{00000000-0005-0000-0000-000006040000}"/>
    <cellStyle name="Normal 2 3 2 3 2 3 2" xfId="1016" xr:uid="{00000000-0005-0000-0000-000007040000}"/>
    <cellStyle name="Normal 2 3 2 3 2 3 2 2" xfId="1630" xr:uid="{00000000-0005-0000-0000-000008040000}"/>
    <cellStyle name="Normal 2 3 2 3 2 3 2 2 2" xfId="2856" xr:uid="{00000000-0005-0000-0000-000009040000}"/>
    <cellStyle name="Normal 2 3 2 3 2 3 2 2 2 2" xfId="6716" xr:uid="{00000000-0005-0000-0000-00000A040000}"/>
    <cellStyle name="Normal 2 3 2 3 2 3 2 2 2 3" xfId="11668" xr:uid="{00000000-0005-0000-0000-00000B040000}"/>
    <cellStyle name="Normal 2 3 2 3 2 3 2 2 3" xfId="4084" xr:uid="{00000000-0005-0000-0000-00000C040000}"/>
    <cellStyle name="Normal 2 3 2 3 2 3 2 2 3 2" xfId="7940" xr:uid="{00000000-0005-0000-0000-00000D040000}"/>
    <cellStyle name="Normal 2 3 2 3 2 3 2 2 3 3" xfId="10426" xr:uid="{00000000-0005-0000-0000-00000E040000}"/>
    <cellStyle name="Normal 2 3 2 3 2 3 2 2 4" xfId="5492" xr:uid="{00000000-0005-0000-0000-00000F040000}"/>
    <cellStyle name="Normal 2 3 2 3 2 3 2 2 5" xfId="9184" xr:uid="{00000000-0005-0000-0000-000010040000}"/>
    <cellStyle name="Normal 2 3 2 3 2 3 2 3" xfId="2244" xr:uid="{00000000-0005-0000-0000-000011040000}"/>
    <cellStyle name="Normal 2 3 2 3 2 3 2 3 2" xfId="6104" xr:uid="{00000000-0005-0000-0000-000012040000}"/>
    <cellStyle name="Normal 2 3 2 3 2 3 2 3 3" xfId="11020" xr:uid="{00000000-0005-0000-0000-000013040000}"/>
    <cellStyle name="Normal 2 3 2 3 2 3 2 4" xfId="3472" xr:uid="{00000000-0005-0000-0000-000014040000}"/>
    <cellStyle name="Normal 2 3 2 3 2 3 2 4 2" xfId="7328" xr:uid="{00000000-0005-0000-0000-000015040000}"/>
    <cellStyle name="Normal 2 3 2 3 2 3 2 4 3" xfId="9778" xr:uid="{00000000-0005-0000-0000-000016040000}"/>
    <cellStyle name="Normal 2 3 2 3 2 3 2 5" xfId="4880" xr:uid="{00000000-0005-0000-0000-000017040000}"/>
    <cellStyle name="Normal 2 3 2 3 2 3 2 6" xfId="8535" xr:uid="{00000000-0005-0000-0000-000018040000}"/>
    <cellStyle name="Normal 2 3 2 3 2 3 3" xfId="1324" xr:uid="{00000000-0005-0000-0000-000019040000}"/>
    <cellStyle name="Normal 2 3 2 3 2 3 3 2" xfId="2550" xr:uid="{00000000-0005-0000-0000-00001A040000}"/>
    <cellStyle name="Normal 2 3 2 3 2 3 3 2 2" xfId="6410" xr:uid="{00000000-0005-0000-0000-00001B040000}"/>
    <cellStyle name="Normal 2 3 2 3 2 3 3 2 3" xfId="11362" xr:uid="{00000000-0005-0000-0000-00001C040000}"/>
    <cellStyle name="Normal 2 3 2 3 2 3 3 3" xfId="3778" xr:uid="{00000000-0005-0000-0000-00001D040000}"/>
    <cellStyle name="Normal 2 3 2 3 2 3 3 3 2" xfId="7634" xr:uid="{00000000-0005-0000-0000-00001E040000}"/>
    <cellStyle name="Normal 2 3 2 3 2 3 3 3 3" xfId="10120" xr:uid="{00000000-0005-0000-0000-00001F040000}"/>
    <cellStyle name="Normal 2 3 2 3 2 3 3 4" xfId="5186" xr:uid="{00000000-0005-0000-0000-000020040000}"/>
    <cellStyle name="Normal 2 3 2 3 2 3 3 5" xfId="8878" xr:uid="{00000000-0005-0000-0000-000021040000}"/>
    <cellStyle name="Normal 2 3 2 3 2 3 4" xfId="1938" xr:uid="{00000000-0005-0000-0000-000022040000}"/>
    <cellStyle name="Normal 2 3 2 3 2 3 4 2" xfId="5798" xr:uid="{00000000-0005-0000-0000-000023040000}"/>
    <cellStyle name="Normal 2 3 2 3 2 3 4 3" xfId="10732" xr:uid="{00000000-0005-0000-0000-000024040000}"/>
    <cellStyle name="Normal 2 3 2 3 2 3 5" xfId="3165" xr:uid="{00000000-0005-0000-0000-000025040000}"/>
    <cellStyle name="Normal 2 3 2 3 2 3 5 2" xfId="7022" xr:uid="{00000000-0005-0000-0000-000026040000}"/>
    <cellStyle name="Normal 2 3 2 3 2 3 5 3" xfId="11938" xr:uid="{00000000-0005-0000-0000-000027040000}"/>
    <cellStyle name="Normal 2 3 2 3 2 3 6" xfId="4574" xr:uid="{00000000-0005-0000-0000-000028040000}"/>
    <cellStyle name="Normal 2 3 2 3 2 3 6 2" xfId="9490" xr:uid="{00000000-0005-0000-0000-000029040000}"/>
    <cellStyle name="Normal 2 3 2 3 2 3 7" xfId="8247" xr:uid="{00000000-0005-0000-0000-00002A040000}"/>
    <cellStyle name="Normal 2 3 2 3 2 4" xfId="925" xr:uid="{00000000-0005-0000-0000-00002B040000}"/>
    <cellStyle name="Normal 2 3 2 3 2 4 2" xfId="1540" xr:uid="{00000000-0005-0000-0000-00002C040000}"/>
    <cellStyle name="Normal 2 3 2 3 2 4 2 2" xfId="2766" xr:uid="{00000000-0005-0000-0000-00002D040000}"/>
    <cellStyle name="Normal 2 3 2 3 2 4 2 2 2" xfId="6626" xr:uid="{00000000-0005-0000-0000-00002E040000}"/>
    <cellStyle name="Normal 2 3 2 3 2 4 2 2 3" xfId="11578" xr:uid="{00000000-0005-0000-0000-00002F040000}"/>
    <cellStyle name="Normal 2 3 2 3 2 4 2 3" xfId="3994" xr:uid="{00000000-0005-0000-0000-000030040000}"/>
    <cellStyle name="Normal 2 3 2 3 2 4 2 3 2" xfId="7850" xr:uid="{00000000-0005-0000-0000-000031040000}"/>
    <cellStyle name="Normal 2 3 2 3 2 4 2 3 3" xfId="10336" xr:uid="{00000000-0005-0000-0000-000032040000}"/>
    <cellStyle name="Normal 2 3 2 3 2 4 2 4" xfId="5402" xr:uid="{00000000-0005-0000-0000-000033040000}"/>
    <cellStyle name="Normal 2 3 2 3 2 4 2 5" xfId="9094" xr:uid="{00000000-0005-0000-0000-000034040000}"/>
    <cellStyle name="Normal 2 3 2 3 2 4 3" xfId="2154" xr:uid="{00000000-0005-0000-0000-000035040000}"/>
    <cellStyle name="Normal 2 3 2 3 2 4 3 2" xfId="6014" xr:uid="{00000000-0005-0000-0000-000036040000}"/>
    <cellStyle name="Normal 2 3 2 3 2 4 3 3" xfId="10930" xr:uid="{00000000-0005-0000-0000-000037040000}"/>
    <cellStyle name="Normal 2 3 2 3 2 4 4" xfId="3382" xr:uid="{00000000-0005-0000-0000-000038040000}"/>
    <cellStyle name="Normal 2 3 2 3 2 4 4 2" xfId="7238" xr:uid="{00000000-0005-0000-0000-000039040000}"/>
    <cellStyle name="Normal 2 3 2 3 2 4 4 3" xfId="9688" xr:uid="{00000000-0005-0000-0000-00003A040000}"/>
    <cellStyle name="Normal 2 3 2 3 2 4 5" xfId="4790" xr:uid="{00000000-0005-0000-0000-00003B040000}"/>
    <cellStyle name="Normal 2 3 2 3 2 4 6" xfId="8445" xr:uid="{00000000-0005-0000-0000-00003C040000}"/>
    <cellStyle name="Normal 2 3 2 3 2 5" xfId="1234" xr:uid="{00000000-0005-0000-0000-00003D040000}"/>
    <cellStyle name="Normal 2 3 2 3 2 5 2" xfId="2460" xr:uid="{00000000-0005-0000-0000-00003E040000}"/>
    <cellStyle name="Normal 2 3 2 3 2 5 2 2" xfId="6320" xr:uid="{00000000-0005-0000-0000-00003F040000}"/>
    <cellStyle name="Normal 2 3 2 3 2 5 2 3" xfId="11272" xr:uid="{00000000-0005-0000-0000-000040040000}"/>
    <cellStyle name="Normal 2 3 2 3 2 5 3" xfId="3688" xr:uid="{00000000-0005-0000-0000-000041040000}"/>
    <cellStyle name="Normal 2 3 2 3 2 5 3 2" xfId="7544" xr:uid="{00000000-0005-0000-0000-000042040000}"/>
    <cellStyle name="Normal 2 3 2 3 2 5 3 3" xfId="10030" xr:uid="{00000000-0005-0000-0000-000043040000}"/>
    <cellStyle name="Normal 2 3 2 3 2 5 4" xfId="5096" xr:uid="{00000000-0005-0000-0000-000044040000}"/>
    <cellStyle name="Normal 2 3 2 3 2 5 5" xfId="8788" xr:uid="{00000000-0005-0000-0000-000045040000}"/>
    <cellStyle name="Normal 2 3 2 3 2 6" xfId="1848" xr:uid="{00000000-0005-0000-0000-000046040000}"/>
    <cellStyle name="Normal 2 3 2 3 2 6 2" xfId="5708" xr:uid="{00000000-0005-0000-0000-000047040000}"/>
    <cellStyle name="Normal 2 3 2 3 2 6 3" xfId="10642" xr:uid="{00000000-0005-0000-0000-000048040000}"/>
    <cellStyle name="Normal 2 3 2 3 2 7" xfId="3075" xr:uid="{00000000-0005-0000-0000-000049040000}"/>
    <cellStyle name="Normal 2 3 2 3 2 7 2" xfId="6932" xr:uid="{00000000-0005-0000-0000-00004A040000}"/>
    <cellStyle name="Normal 2 3 2 3 2 7 3" xfId="11848" xr:uid="{00000000-0005-0000-0000-00004B040000}"/>
    <cellStyle name="Normal 2 3 2 3 2 8" xfId="4484" xr:uid="{00000000-0005-0000-0000-00004C040000}"/>
    <cellStyle name="Normal 2 3 2 3 2 8 2" xfId="9400" xr:uid="{00000000-0005-0000-0000-00004D040000}"/>
    <cellStyle name="Normal 2 3 2 3 2 9" xfId="8157" xr:uid="{00000000-0005-0000-0000-00004E040000}"/>
    <cellStyle name="Normal 2 3 2 3 3" xfId="720" xr:uid="{00000000-0005-0000-0000-00004F040000}"/>
    <cellStyle name="Normal 2 3 2 3 3 2" xfId="1070" xr:uid="{00000000-0005-0000-0000-000050040000}"/>
    <cellStyle name="Normal 2 3 2 3 3 2 2" xfId="1684" xr:uid="{00000000-0005-0000-0000-000051040000}"/>
    <cellStyle name="Normal 2 3 2 3 3 2 2 2" xfId="2910" xr:uid="{00000000-0005-0000-0000-000052040000}"/>
    <cellStyle name="Normal 2 3 2 3 3 2 2 2 2" xfId="6770" xr:uid="{00000000-0005-0000-0000-000053040000}"/>
    <cellStyle name="Normal 2 3 2 3 3 2 2 2 3" xfId="11722" xr:uid="{00000000-0005-0000-0000-000054040000}"/>
    <cellStyle name="Normal 2 3 2 3 3 2 2 3" xfId="4138" xr:uid="{00000000-0005-0000-0000-000055040000}"/>
    <cellStyle name="Normal 2 3 2 3 3 2 2 3 2" xfId="7994" xr:uid="{00000000-0005-0000-0000-000056040000}"/>
    <cellStyle name="Normal 2 3 2 3 3 2 2 3 3" xfId="10480" xr:uid="{00000000-0005-0000-0000-000057040000}"/>
    <cellStyle name="Normal 2 3 2 3 3 2 2 4" xfId="5546" xr:uid="{00000000-0005-0000-0000-000058040000}"/>
    <cellStyle name="Normal 2 3 2 3 3 2 2 5" xfId="9238" xr:uid="{00000000-0005-0000-0000-000059040000}"/>
    <cellStyle name="Normal 2 3 2 3 3 2 3" xfId="2298" xr:uid="{00000000-0005-0000-0000-00005A040000}"/>
    <cellStyle name="Normal 2 3 2 3 3 2 3 2" xfId="6158" xr:uid="{00000000-0005-0000-0000-00005B040000}"/>
    <cellStyle name="Normal 2 3 2 3 3 2 3 3" xfId="11074" xr:uid="{00000000-0005-0000-0000-00005C040000}"/>
    <cellStyle name="Normal 2 3 2 3 3 2 4" xfId="3526" xr:uid="{00000000-0005-0000-0000-00005D040000}"/>
    <cellStyle name="Normal 2 3 2 3 3 2 4 2" xfId="7382" xr:uid="{00000000-0005-0000-0000-00005E040000}"/>
    <cellStyle name="Normal 2 3 2 3 3 2 4 3" xfId="9832" xr:uid="{00000000-0005-0000-0000-00005F040000}"/>
    <cellStyle name="Normal 2 3 2 3 3 2 5" xfId="4934" xr:uid="{00000000-0005-0000-0000-000060040000}"/>
    <cellStyle name="Normal 2 3 2 3 3 2 6" xfId="8589" xr:uid="{00000000-0005-0000-0000-000061040000}"/>
    <cellStyle name="Normal 2 3 2 3 3 3" xfId="1378" xr:uid="{00000000-0005-0000-0000-000062040000}"/>
    <cellStyle name="Normal 2 3 2 3 3 3 2" xfId="2604" xr:uid="{00000000-0005-0000-0000-000063040000}"/>
    <cellStyle name="Normal 2 3 2 3 3 3 2 2" xfId="6464" xr:uid="{00000000-0005-0000-0000-000064040000}"/>
    <cellStyle name="Normal 2 3 2 3 3 3 2 3" xfId="11416" xr:uid="{00000000-0005-0000-0000-000065040000}"/>
    <cellStyle name="Normal 2 3 2 3 3 3 3" xfId="3832" xr:uid="{00000000-0005-0000-0000-000066040000}"/>
    <cellStyle name="Normal 2 3 2 3 3 3 3 2" xfId="7688" xr:uid="{00000000-0005-0000-0000-000067040000}"/>
    <cellStyle name="Normal 2 3 2 3 3 3 3 3" xfId="10174" xr:uid="{00000000-0005-0000-0000-000068040000}"/>
    <cellStyle name="Normal 2 3 2 3 3 3 4" xfId="5240" xr:uid="{00000000-0005-0000-0000-000069040000}"/>
    <cellStyle name="Normal 2 3 2 3 3 3 5" xfId="8932" xr:uid="{00000000-0005-0000-0000-00006A040000}"/>
    <cellStyle name="Normal 2 3 2 3 3 4" xfId="1992" xr:uid="{00000000-0005-0000-0000-00006B040000}"/>
    <cellStyle name="Normal 2 3 2 3 3 4 2" xfId="5852" xr:uid="{00000000-0005-0000-0000-00006C040000}"/>
    <cellStyle name="Normal 2 3 2 3 3 4 3" xfId="10786" xr:uid="{00000000-0005-0000-0000-00006D040000}"/>
    <cellStyle name="Normal 2 3 2 3 3 5" xfId="3219" xr:uid="{00000000-0005-0000-0000-00006E040000}"/>
    <cellStyle name="Normal 2 3 2 3 3 5 2" xfId="7076" xr:uid="{00000000-0005-0000-0000-00006F040000}"/>
    <cellStyle name="Normal 2 3 2 3 3 5 3" xfId="11992" xr:uid="{00000000-0005-0000-0000-000070040000}"/>
    <cellStyle name="Normal 2 3 2 3 3 6" xfId="4628" xr:uid="{00000000-0005-0000-0000-000071040000}"/>
    <cellStyle name="Normal 2 3 2 3 3 6 2" xfId="9544" xr:uid="{00000000-0005-0000-0000-000072040000}"/>
    <cellStyle name="Normal 2 3 2 3 3 7" xfId="8301" xr:uid="{00000000-0005-0000-0000-000073040000}"/>
    <cellStyle name="Normal 2 3 2 3 4" xfId="630" xr:uid="{00000000-0005-0000-0000-000074040000}"/>
    <cellStyle name="Normal 2 3 2 3 4 2" xfId="980" xr:uid="{00000000-0005-0000-0000-000075040000}"/>
    <cellStyle name="Normal 2 3 2 3 4 2 2" xfId="1594" xr:uid="{00000000-0005-0000-0000-000076040000}"/>
    <cellStyle name="Normal 2 3 2 3 4 2 2 2" xfId="2820" xr:uid="{00000000-0005-0000-0000-000077040000}"/>
    <cellStyle name="Normal 2 3 2 3 4 2 2 2 2" xfId="6680" xr:uid="{00000000-0005-0000-0000-000078040000}"/>
    <cellStyle name="Normal 2 3 2 3 4 2 2 2 3" xfId="11632" xr:uid="{00000000-0005-0000-0000-000079040000}"/>
    <cellStyle name="Normal 2 3 2 3 4 2 2 3" xfId="4048" xr:uid="{00000000-0005-0000-0000-00007A040000}"/>
    <cellStyle name="Normal 2 3 2 3 4 2 2 3 2" xfId="7904" xr:uid="{00000000-0005-0000-0000-00007B040000}"/>
    <cellStyle name="Normal 2 3 2 3 4 2 2 3 3" xfId="10390" xr:uid="{00000000-0005-0000-0000-00007C040000}"/>
    <cellStyle name="Normal 2 3 2 3 4 2 2 4" xfId="5456" xr:uid="{00000000-0005-0000-0000-00007D040000}"/>
    <cellStyle name="Normal 2 3 2 3 4 2 2 5" xfId="9148" xr:uid="{00000000-0005-0000-0000-00007E040000}"/>
    <cellStyle name="Normal 2 3 2 3 4 2 3" xfId="2208" xr:uid="{00000000-0005-0000-0000-00007F040000}"/>
    <cellStyle name="Normal 2 3 2 3 4 2 3 2" xfId="6068" xr:uid="{00000000-0005-0000-0000-000080040000}"/>
    <cellStyle name="Normal 2 3 2 3 4 2 3 3" xfId="10984" xr:uid="{00000000-0005-0000-0000-000081040000}"/>
    <cellStyle name="Normal 2 3 2 3 4 2 4" xfId="3436" xr:uid="{00000000-0005-0000-0000-000082040000}"/>
    <cellStyle name="Normal 2 3 2 3 4 2 4 2" xfId="7292" xr:uid="{00000000-0005-0000-0000-000083040000}"/>
    <cellStyle name="Normal 2 3 2 3 4 2 4 3" xfId="9742" xr:uid="{00000000-0005-0000-0000-000084040000}"/>
    <cellStyle name="Normal 2 3 2 3 4 2 5" xfId="4844" xr:uid="{00000000-0005-0000-0000-000085040000}"/>
    <cellStyle name="Normal 2 3 2 3 4 2 6" xfId="8499" xr:uid="{00000000-0005-0000-0000-000086040000}"/>
    <cellStyle name="Normal 2 3 2 3 4 3" xfId="1288" xr:uid="{00000000-0005-0000-0000-000087040000}"/>
    <cellStyle name="Normal 2 3 2 3 4 3 2" xfId="2514" xr:uid="{00000000-0005-0000-0000-000088040000}"/>
    <cellStyle name="Normal 2 3 2 3 4 3 2 2" xfId="6374" xr:uid="{00000000-0005-0000-0000-000089040000}"/>
    <cellStyle name="Normal 2 3 2 3 4 3 2 3" xfId="11326" xr:uid="{00000000-0005-0000-0000-00008A040000}"/>
    <cellStyle name="Normal 2 3 2 3 4 3 3" xfId="3742" xr:uid="{00000000-0005-0000-0000-00008B040000}"/>
    <cellStyle name="Normal 2 3 2 3 4 3 3 2" xfId="7598" xr:uid="{00000000-0005-0000-0000-00008C040000}"/>
    <cellStyle name="Normal 2 3 2 3 4 3 3 3" xfId="10084" xr:uid="{00000000-0005-0000-0000-00008D040000}"/>
    <cellStyle name="Normal 2 3 2 3 4 3 4" xfId="5150" xr:uid="{00000000-0005-0000-0000-00008E040000}"/>
    <cellStyle name="Normal 2 3 2 3 4 3 5" xfId="8842" xr:uid="{00000000-0005-0000-0000-00008F040000}"/>
    <cellStyle name="Normal 2 3 2 3 4 4" xfId="1902" xr:uid="{00000000-0005-0000-0000-000090040000}"/>
    <cellStyle name="Normal 2 3 2 3 4 4 2" xfId="5762" xr:uid="{00000000-0005-0000-0000-000091040000}"/>
    <cellStyle name="Normal 2 3 2 3 4 4 3" xfId="10696" xr:uid="{00000000-0005-0000-0000-000092040000}"/>
    <cellStyle name="Normal 2 3 2 3 4 5" xfId="3129" xr:uid="{00000000-0005-0000-0000-000093040000}"/>
    <cellStyle name="Normal 2 3 2 3 4 5 2" xfId="6986" xr:uid="{00000000-0005-0000-0000-000094040000}"/>
    <cellStyle name="Normal 2 3 2 3 4 5 3" xfId="11902" xr:uid="{00000000-0005-0000-0000-000095040000}"/>
    <cellStyle name="Normal 2 3 2 3 4 6" xfId="4538" xr:uid="{00000000-0005-0000-0000-000096040000}"/>
    <cellStyle name="Normal 2 3 2 3 4 6 2" xfId="9454" xr:uid="{00000000-0005-0000-0000-000097040000}"/>
    <cellStyle name="Normal 2 3 2 3 4 7" xfId="8211" xr:uid="{00000000-0005-0000-0000-000098040000}"/>
    <cellStyle name="Normal 2 3 2 3 5" xfId="536" xr:uid="{00000000-0005-0000-0000-000099040000}"/>
    <cellStyle name="Normal 2 3 2 3 5 2" xfId="886" xr:uid="{00000000-0005-0000-0000-00009A040000}"/>
    <cellStyle name="Normal 2 3 2 3 5 2 2" xfId="1504" xr:uid="{00000000-0005-0000-0000-00009B040000}"/>
    <cellStyle name="Normal 2 3 2 3 5 2 2 2" xfId="2730" xr:uid="{00000000-0005-0000-0000-00009C040000}"/>
    <cellStyle name="Normal 2 3 2 3 5 2 2 2 2" xfId="6590" xr:uid="{00000000-0005-0000-0000-00009D040000}"/>
    <cellStyle name="Normal 2 3 2 3 5 2 2 2 3" xfId="11542" xr:uid="{00000000-0005-0000-0000-00009E040000}"/>
    <cellStyle name="Normal 2 3 2 3 5 2 2 3" xfId="3958" xr:uid="{00000000-0005-0000-0000-00009F040000}"/>
    <cellStyle name="Normal 2 3 2 3 5 2 2 3 2" xfId="7814" xr:uid="{00000000-0005-0000-0000-0000A0040000}"/>
    <cellStyle name="Normal 2 3 2 3 5 2 2 3 3" xfId="10300" xr:uid="{00000000-0005-0000-0000-0000A1040000}"/>
    <cellStyle name="Normal 2 3 2 3 5 2 2 4" xfId="5366" xr:uid="{00000000-0005-0000-0000-0000A2040000}"/>
    <cellStyle name="Normal 2 3 2 3 5 2 2 5" xfId="9058" xr:uid="{00000000-0005-0000-0000-0000A3040000}"/>
    <cellStyle name="Normal 2 3 2 3 5 2 3" xfId="2118" xr:uid="{00000000-0005-0000-0000-0000A4040000}"/>
    <cellStyle name="Normal 2 3 2 3 5 2 3 2" xfId="5978" xr:uid="{00000000-0005-0000-0000-0000A5040000}"/>
    <cellStyle name="Normal 2 3 2 3 5 2 3 3" xfId="11146" xr:uid="{00000000-0005-0000-0000-0000A6040000}"/>
    <cellStyle name="Normal 2 3 2 3 5 2 4" xfId="3346" xr:uid="{00000000-0005-0000-0000-0000A7040000}"/>
    <cellStyle name="Normal 2 3 2 3 5 2 4 2" xfId="7202" xr:uid="{00000000-0005-0000-0000-0000A8040000}"/>
    <cellStyle name="Normal 2 3 2 3 5 2 4 3" xfId="9904" xr:uid="{00000000-0005-0000-0000-0000A9040000}"/>
    <cellStyle name="Normal 2 3 2 3 5 2 5" xfId="4754" xr:uid="{00000000-0005-0000-0000-0000AA040000}"/>
    <cellStyle name="Normal 2 3 2 3 5 2 6" xfId="8662" xr:uid="{00000000-0005-0000-0000-0000AB040000}"/>
    <cellStyle name="Normal 2 3 2 3 5 3" xfId="1198" xr:uid="{00000000-0005-0000-0000-0000AC040000}"/>
    <cellStyle name="Normal 2 3 2 3 5 3 2" xfId="2424" xr:uid="{00000000-0005-0000-0000-0000AD040000}"/>
    <cellStyle name="Normal 2 3 2 3 5 3 2 2" xfId="6284" xr:uid="{00000000-0005-0000-0000-0000AE040000}"/>
    <cellStyle name="Normal 2 3 2 3 5 3 2 3" xfId="11236" xr:uid="{00000000-0005-0000-0000-0000AF040000}"/>
    <cellStyle name="Normal 2 3 2 3 5 3 3" xfId="3652" xr:uid="{00000000-0005-0000-0000-0000B0040000}"/>
    <cellStyle name="Normal 2 3 2 3 5 3 3 2" xfId="7508" xr:uid="{00000000-0005-0000-0000-0000B1040000}"/>
    <cellStyle name="Normal 2 3 2 3 5 3 3 3" xfId="9994" xr:uid="{00000000-0005-0000-0000-0000B2040000}"/>
    <cellStyle name="Normal 2 3 2 3 5 3 4" xfId="5060" xr:uid="{00000000-0005-0000-0000-0000B3040000}"/>
    <cellStyle name="Normal 2 3 2 3 5 3 5" xfId="8752" xr:uid="{00000000-0005-0000-0000-0000B4040000}"/>
    <cellStyle name="Normal 2 3 2 3 5 4" xfId="1812" xr:uid="{00000000-0005-0000-0000-0000B5040000}"/>
    <cellStyle name="Normal 2 3 2 3 5 4 2" xfId="5672" xr:uid="{00000000-0005-0000-0000-0000B6040000}"/>
    <cellStyle name="Normal 2 3 2 3 5 4 2 2" xfId="11128" xr:uid="{00000000-0005-0000-0000-0000B7040000}"/>
    <cellStyle name="Normal 2 3 2 3 5 4 3" xfId="9886" xr:uid="{00000000-0005-0000-0000-0000B8040000}"/>
    <cellStyle name="Normal 2 3 2 3 5 4 4" xfId="8643" xr:uid="{00000000-0005-0000-0000-0000B9040000}"/>
    <cellStyle name="Normal 2 3 2 3 5 5" xfId="3039" xr:uid="{00000000-0005-0000-0000-0000BA040000}"/>
    <cellStyle name="Normal 2 3 2 3 5 5 2" xfId="6896" xr:uid="{00000000-0005-0000-0000-0000BB040000}"/>
    <cellStyle name="Normal 2 3 2 3 5 5 3" xfId="10606" xr:uid="{00000000-0005-0000-0000-0000BC040000}"/>
    <cellStyle name="Normal 2 3 2 3 5 6" xfId="4448" xr:uid="{00000000-0005-0000-0000-0000BD040000}"/>
    <cellStyle name="Normal 2 3 2 3 5 6 2" xfId="9364" xr:uid="{00000000-0005-0000-0000-0000BE040000}"/>
    <cellStyle name="Normal 2 3 2 3 5 7" xfId="8121" xr:uid="{00000000-0005-0000-0000-0000BF040000}"/>
    <cellStyle name="Normal 2 3 2 3 6" xfId="812" xr:uid="{00000000-0005-0000-0000-0000C0040000}"/>
    <cellStyle name="Normal 2 3 2 3 6 2" xfId="1450" xr:uid="{00000000-0005-0000-0000-0000C1040000}"/>
    <cellStyle name="Normal 2 3 2 3 6 2 2" xfId="2676" xr:uid="{00000000-0005-0000-0000-0000C2040000}"/>
    <cellStyle name="Normal 2 3 2 3 6 2 2 2" xfId="6536" xr:uid="{00000000-0005-0000-0000-0000C3040000}"/>
    <cellStyle name="Normal 2 3 2 3 6 2 2 3" xfId="11488" xr:uid="{00000000-0005-0000-0000-0000C4040000}"/>
    <cellStyle name="Normal 2 3 2 3 6 2 3" xfId="3904" xr:uid="{00000000-0005-0000-0000-0000C5040000}"/>
    <cellStyle name="Normal 2 3 2 3 6 2 3 2" xfId="7760" xr:uid="{00000000-0005-0000-0000-0000C6040000}"/>
    <cellStyle name="Normal 2 3 2 3 6 2 3 3" xfId="10246" xr:uid="{00000000-0005-0000-0000-0000C7040000}"/>
    <cellStyle name="Normal 2 3 2 3 6 2 4" xfId="5312" xr:uid="{00000000-0005-0000-0000-0000C8040000}"/>
    <cellStyle name="Normal 2 3 2 3 6 2 5" xfId="9004" xr:uid="{00000000-0005-0000-0000-0000C9040000}"/>
    <cellStyle name="Normal 2 3 2 3 6 3" xfId="2064" xr:uid="{00000000-0005-0000-0000-0000CA040000}"/>
    <cellStyle name="Normal 2 3 2 3 6 3 2" xfId="5924" xr:uid="{00000000-0005-0000-0000-0000CB040000}"/>
    <cellStyle name="Normal 2 3 2 3 6 3 3" xfId="10894" xr:uid="{00000000-0005-0000-0000-0000CC040000}"/>
    <cellStyle name="Normal 2 3 2 3 6 4" xfId="3292" xr:uid="{00000000-0005-0000-0000-0000CD040000}"/>
    <cellStyle name="Normal 2 3 2 3 6 4 2" xfId="7148" xr:uid="{00000000-0005-0000-0000-0000CE040000}"/>
    <cellStyle name="Normal 2 3 2 3 6 4 3" xfId="9652" xr:uid="{00000000-0005-0000-0000-0000CF040000}"/>
    <cellStyle name="Normal 2 3 2 3 6 5" xfId="4700" xr:uid="{00000000-0005-0000-0000-0000D0040000}"/>
    <cellStyle name="Normal 2 3 2 3 6 6" xfId="8409" xr:uid="{00000000-0005-0000-0000-0000D1040000}"/>
    <cellStyle name="Normal 2 3 2 3 7" xfId="1144" xr:uid="{00000000-0005-0000-0000-0000D2040000}"/>
    <cellStyle name="Normal 2 3 2 3 7 2" xfId="2370" xr:uid="{00000000-0005-0000-0000-0000D3040000}"/>
    <cellStyle name="Normal 2 3 2 3 7 2 2" xfId="6230" xr:uid="{00000000-0005-0000-0000-0000D4040000}"/>
    <cellStyle name="Normal 2 3 2 3 7 2 3" xfId="11182" xr:uid="{00000000-0005-0000-0000-0000D5040000}"/>
    <cellStyle name="Normal 2 3 2 3 7 3" xfId="3598" xr:uid="{00000000-0005-0000-0000-0000D6040000}"/>
    <cellStyle name="Normal 2 3 2 3 7 3 2" xfId="7454" xr:uid="{00000000-0005-0000-0000-0000D7040000}"/>
    <cellStyle name="Normal 2 3 2 3 7 3 3" xfId="9940" xr:uid="{00000000-0005-0000-0000-0000D8040000}"/>
    <cellStyle name="Normal 2 3 2 3 7 4" xfId="5006" xr:uid="{00000000-0005-0000-0000-0000D9040000}"/>
    <cellStyle name="Normal 2 3 2 3 7 5" xfId="8698" xr:uid="{00000000-0005-0000-0000-0000DA040000}"/>
    <cellStyle name="Normal 2 3 2 3 8" xfId="1758" xr:uid="{00000000-0005-0000-0000-0000DB040000}"/>
    <cellStyle name="Normal 2 3 2 3 8 2" xfId="5618" xr:uid="{00000000-0005-0000-0000-0000DC040000}"/>
    <cellStyle name="Normal 2 3 2 3 8 3" xfId="10552" xr:uid="{00000000-0005-0000-0000-0000DD040000}"/>
    <cellStyle name="Normal 2 3 2 3 9" xfId="2985" xr:uid="{00000000-0005-0000-0000-0000DE040000}"/>
    <cellStyle name="Normal 2 3 2 3 9 2" xfId="6842" xr:uid="{00000000-0005-0000-0000-0000DF040000}"/>
    <cellStyle name="Normal 2 3 2 3 9 3" xfId="11812" xr:uid="{00000000-0005-0000-0000-0000E0040000}"/>
    <cellStyle name="Normal 2 3 2 4" xfId="557" xr:uid="{00000000-0005-0000-0000-0000E1040000}"/>
    <cellStyle name="Normal 2 3 2 4 2" xfId="738" xr:uid="{00000000-0005-0000-0000-0000E2040000}"/>
    <cellStyle name="Normal 2 3 2 4 2 2" xfId="1088" xr:uid="{00000000-0005-0000-0000-0000E3040000}"/>
    <cellStyle name="Normal 2 3 2 4 2 2 2" xfId="1702" xr:uid="{00000000-0005-0000-0000-0000E4040000}"/>
    <cellStyle name="Normal 2 3 2 4 2 2 2 2" xfId="2928" xr:uid="{00000000-0005-0000-0000-0000E5040000}"/>
    <cellStyle name="Normal 2 3 2 4 2 2 2 2 2" xfId="6788" xr:uid="{00000000-0005-0000-0000-0000E6040000}"/>
    <cellStyle name="Normal 2 3 2 4 2 2 2 2 3" xfId="11740" xr:uid="{00000000-0005-0000-0000-0000E7040000}"/>
    <cellStyle name="Normal 2 3 2 4 2 2 2 3" xfId="4156" xr:uid="{00000000-0005-0000-0000-0000E8040000}"/>
    <cellStyle name="Normal 2 3 2 4 2 2 2 3 2" xfId="8012" xr:uid="{00000000-0005-0000-0000-0000E9040000}"/>
    <cellStyle name="Normal 2 3 2 4 2 2 2 3 3" xfId="10498" xr:uid="{00000000-0005-0000-0000-0000EA040000}"/>
    <cellStyle name="Normal 2 3 2 4 2 2 2 4" xfId="5564" xr:uid="{00000000-0005-0000-0000-0000EB040000}"/>
    <cellStyle name="Normal 2 3 2 4 2 2 2 5" xfId="9256" xr:uid="{00000000-0005-0000-0000-0000EC040000}"/>
    <cellStyle name="Normal 2 3 2 4 2 2 3" xfId="2316" xr:uid="{00000000-0005-0000-0000-0000ED040000}"/>
    <cellStyle name="Normal 2 3 2 4 2 2 3 2" xfId="6176" xr:uid="{00000000-0005-0000-0000-0000EE040000}"/>
    <cellStyle name="Normal 2 3 2 4 2 2 3 3" xfId="11092" xr:uid="{00000000-0005-0000-0000-0000EF040000}"/>
    <cellStyle name="Normal 2 3 2 4 2 2 4" xfId="3544" xr:uid="{00000000-0005-0000-0000-0000F0040000}"/>
    <cellStyle name="Normal 2 3 2 4 2 2 4 2" xfId="7400" xr:uid="{00000000-0005-0000-0000-0000F1040000}"/>
    <cellStyle name="Normal 2 3 2 4 2 2 4 3" xfId="9850" xr:uid="{00000000-0005-0000-0000-0000F2040000}"/>
    <cellStyle name="Normal 2 3 2 4 2 2 5" xfId="4952" xr:uid="{00000000-0005-0000-0000-0000F3040000}"/>
    <cellStyle name="Normal 2 3 2 4 2 2 6" xfId="8607" xr:uid="{00000000-0005-0000-0000-0000F4040000}"/>
    <cellStyle name="Normal 2 3 2 4 2 3" xfId="1396" xr:uid="{00000000-0005-0000-0000-0000F5040000}"/>
    <cellStyle name="Normal 2 3 2 4 2 3 2" xfId="2622" xr:uid="{00000000-0005-0000-0000-0000F6040000}"/>
    <cellStyle name="Normal 2 3 2 4 2 3 2 2" xfId="6482" xr:uid="{00000000-0005-0000-0000-0000F7040000}"/>
    <cellStyle name="Normal 2 3 2 4 2 3 2 3" xfId="11434" xr:uid="{00000000-0005-0000-0000-0000F8040000}"/>
    <cellStyle name="Normal 2 3 2 4 2 3 3" xfId="3850" xr:uid="{00000000-0005-0000-0000-0000F9040000}"/>
    <cellStyle name="Normal 2 3 2 4 2 3 3 2" xfId="7706" xr:uid="{00000000-0005-0000-0000-0000FA040000}"/>
    <cellStyle name="Normal 2 3 2 4 2 3 3 3" xfId="10192" xr:uid="{00000000-0005-0000-0000-0000FB040000}"/>
    <cellStyle name="Normal 2 3 2 4 2 3 4" xfId="5258" xr:uid="{00000000-0005-0000-0000-0000FC040000}"/>
    <cellStyle name="Normal 2 3 2 4 2 3 5" xfId="8950" xr:uid="{00000000-0005-0000-0000-0000FD040000}"/>
    <cellStyle name="Normal 2 3 2 4 2 4" xfId="2010" xr:uid="{00000000-0005-0000-0000-0000FE040000}"/>
    <cellStyle name="Normal 2 3 2 4 2 4 2" xfId="5870" xr:uid="{00000000-0005-0000-0000-0000FF040000}"/>
    <cellStyle name="Normal 2 3 2 4 2 4 3" xfId="10804" xr:uid="{00000000-0005-0000-0000-000000050000}"/>
    <cellStyle name="Normal 2 3 2 4 2 5" xfId="3237" xr:uid="{00000000-0005-0000-0000-000001050000}"/>
    <cellStyle name="Normal 2 3 2 4 2 5 2" xfId="7094" xr:uid="{00000000-0005-0000-0000-000002050000}"/>
    <cellStyle name="Normal 2 3 2 4 2 5 3" xfId="12010" xr:uid="{00000000-0005-0000-0000-000003050000}"/>
    <cellStyle name="Normal 2 3 2 4 2 6" xfId="4646" xr:uid="{00000000-0005-0000-0000-000004050000}"/>
    <cellStyle name="Normal 2 3 2 4 2 6 2" xfId="9562" xr:uid="{00000000-0005-0000-0000-000005050000}"/>
    <cellStyle name="Normal 2 3 2 4 2 7" xfId="8319" xr:uid="{00000000-0005-0000-0000-000006050000}"/>
    <cellStyle name="Normal 2 3 2 4 3" xfId="648" xr:uid="{00000000-0005-0000-0000-000007050000}"/>
    <cellStyle name="Normal 2 3 2 4 3 2" xfId="998" xr:uid="{00000000-0005-0000-0000-000008050000}"/>
    <cellStyle name="Normal 2 3 2 4 3 2 2" xfId="1612" xr:uid="{00000000-0005-0000-0000-000009050000}"/>
    <cellStyle name="Normal 2 3 2 4 3 2 2 2" xfId="2838" xr:uid="{00000000-0005-0000-0000-00000A050000}"/>
    <cellStyle name="Normal 2 3 2 4 3 2 2 2 2" xfId="6698" xr:uid="{00000000-0005-0000-0000-00000B050000}"/>
    <cellStyle name="Normal 2 3 2 4 3 2 2 2 3" xfId="11650" xr:uid="{00000000-0005-0000-0000-00000C050000}"/>
    <cellStyle name="Normal 2 3 2 4 3 2 2 3" xfId="4066" xr:uid="{00000000-0005-0000-0000-00000D050000}"/>
    <cellStyle name="Normal 2 3 2 4 3 2 2 3 2" xfId="7922" xr:uid="{00000000-0005-0000-0000-00000E050000}"/>
    <cellStyle name="Normal 2 3 2 4 3 2 2 3 3" xfId="10408" xr:uid="{00000000-0005-0000-0000-00000F050000}"/>
    <cellStyle name="Normal 2 3 2 4 3 2 2 4" xfId="5474" xr:uid="{00000000-0005-0000-0000-000010050000}"/>
    <cellStyle name="Normal 2 3 2 4 3 2 2 5" xfId="9166" xr:uid="{00000000-0005-0000-0000-000011050000}"/>
    <cellStyle name="Normal 2 3 2 4 3 2 3" xfId="2226" xr:uid="{00000000-0005-0000-0000-000012050000}"/>
    <cellStyle name="Normal 2 3 2 4 3 2 3 2" xfId="6086" xr:uid="{00000000-0005-0000-0000-000013050000}"/>
    <cellStyle name="Normal 2 3 2 4 3 2 3 3" xfId="11002" xr:uid="{00000000-0005-0000-0000-000014050000}"/>
    <cellStyle name="Normal 2 3 2 4 3 2 4" xfId="3454" xr:uid="{00000000-0005-0000-0000-000015050000}"/>
    <cellStyle name="Normal 2 3 2 4 3 2 4 2" xfId="7310" xr:uid="{00000000-0005-0000-0000-000016050000}"/>
    <cellStyle name="Normal 2 3 2 4 3 2 4 3" xfId="9760" xr:uid="{00000000-0005-0000-0000-000017050000}"/>
    <cellStyle name="Normal 2 3 2 4 3 2 5" xfId="4862" xr:uid="{00000000-0005-0000-0000-000018050000}"/>
    <cellStyle name="Normal 2 3 2 4 3 2 6" xfId="8517" xr:uid="{00000000-0005-0000-0000-000019050000}"/>
    <cellStyle name="Normal 2 3 2 4 3 3" xfId="1306" xr:uid="{00000000-0005-0000-0000-00001A050000}"/>
    <cellStyle name="Normal 2 3 2 4 3 3 2" xfId="2532" xr:uid="{00000000-0005-0000-0000-00001B050000}"/>
    <cellStyle name="Normal 2 3 2 4 3 3 2 2" xfId="6392" xr:uid="{00000000-0005-0000-0000-00001C050000}"/>
    <cellStyle name="Normal 2 3 2 4 3 3 2 3" xfId="11344" xr:uid="{00000000-0005-0000-0000-00001D050000}"/>
    <cellStyle name="Normal 2 3 2 4 3 3 3" xfId="3760" xr:uid="{00000000-0005-0000-0000-00001E050000}"/>
    <cellStyle name="Normal 2 3 2 4 3 3 3 2" xfId="7616" xr:uid="{00000000-0005-0000-0000-00001F050000}"/>
    <cellStyle name="Normal 2 3 2 4 3 3 3 3" xfId="10102" xr:uid="{00000000-0005-0000-0000-000020050000}"/>
    <cellStyle name="Normal 2 3 2 4 3 3 4" xfId="5168" xr:uid="{00000000-0005-0000-0000-000021050000}"/>
    <cellStyle name="Normal 2 3 2 4 3 3 5" xfId="8860" xr:uid="{00000000-0005-0000-0000-000022050000}"/>
    <cellStyle name="Normal 2 3 2 4 3 4" xfId="1920" xr:uid="{00000000-0005-0000-0000-000023050000}"/>
    <cellStyle name="Normal 2 3 2 4 3 4 2" xfId="5780" xr:uid="{00000000-0005-0000-0000-000024050000}"/>
    <cellStyle name="Normal 2 3 2 4 3 4 3" xfId="10714" xr:uid="{00000000-0005-0000-0000-000025050000}"/>
    <cellStyle name="Normal 2 3 2 4 3 5" xfId="3147" xr:uid="{00000000-0005-0000-0000-000026050000}"/>
    <cellStyle name="Normal 2 3 2 4 3 5 2" xfId="7004" xr:uid="{00000000-0005-0000-0000-000027050000}"/>
    <cellStyle name="Normal 2 3 2 4 3 5 3" xfId="11920" xr:uid="{00000000-0005-0000-0000-000028050000}"/>
    <cellStyle name="Normal 2 3 2 4 3 6" xfId="4556" xr:uid="{00000000-0005-0000-0000-000029050000}"/>
    <cellStyle name="Normal 2 3 2 4 3 6 2" xfId="9472" xr:uid="{00000000-0005-0000-0000-00002A050000}"/>
    <cellStyle name="Normal 2 3 2 4 3 7" xfId="8229" xr:uid="{00000000-0005-0000-0000-00002B050000}"/>
    <cellStyle name="Normal 2 3 2 4 4" xfId="907" xr:uid="{00000000-0005-0000-0000-00002C050000}"/>
    <cellStyle name="Normal 2 3 2 4 4 2" xfId="1522" xr:uid="{00000000-0005-0000-0000-00002D050000}"/>
    <cellStyle name="Normal 2 3 2 4 4 2 2" xfId="2748" xr:uid="{00000000-0005-0000-0000-00002E050000}"/>
    <cellStyle name="Normal 2 3 2 4 4 2 2 2" xfId="6608" xr:uid="{00000000-0005-0000-0000-00002F050000}"/>
    <cellStyle name="Normal 2 3 2 4 4 2 2 3" xfId="11560" xr:uid="{00000000-0005-0000-0000-000030050000}"/>
    <cellStyle name="Normal 2 3 2 4 4 2 3" xfId="3976" xr:uid="{00000000-0005-0000-0000-000031050000}"/>
    <cellStyle name="Normal 2 3 2 4 4 2 3 2" xfId="7832" xr:uid="{00000000-0005-0000-0000-000032050000}"/>
    <cellStyle name="Normal 2 3 2 4 4 2 3 3" xfId="10318" xr:uid="{00000000-0005-0000-0000-000033050000}"/>
    <cellStyle name="Normal 2 3 2 4 4 2 4" xfId="5384" xr:uid="{00000000-0005-0000-0000-000034050000}"/>
    <cellStyle name="Normal 2 3 2 4 4 2 5" xfId="9076" xr:uid="{00000000-0005-0000-0000-000035050000}"/>
    <cellStyle name="Normal 2 3 2 4 4 3" xfId="2136" xr:uid="{00000000-0005-0000-0000-000036050000}"/>
    <cellStyle name="Normal 2 3 2 4 4 3 2" xfId="5996" xr:uid="{00000000-0005-0000-0000-000037050000}"/>
    <cellStyle name="Normal 2 3 2 4 4 3 3" xfId="10912" xr:uid="{00000000-0005-0000-0000-000038050000}"/>
    <cellStyle name="Normal 2 3 2 4 4 4" xfId="3364" xr:uid="{00000000-0005-0000-0000-000039050000}"/>
    <cellStyle name="Normal 2 3 2 4 4 4 2" xfId="7220" xr:uid="{00000000-0005-0000-0000-00003A050000}"/>
    <cellStyle name="Normal 2 3 2 4 4 4 3" xfId="9670" xr:uid="{00000000-0005-0000-0000-00003B050000}"/>
    <cellStyle name="Normal 2 3 2 4 4 5" xfId="4772" xr:uid="{00000000-0005-0000-0000-00003C050000}"/>
    <cellStyle name="Normal 2 3 2 4 4 6" xfId="8427" xr:uid="{00000000-0005-0000-0000-00003D050000}"/>
    <cellStyle name="Normal 2 3 2 4 5" xfId="1216" xr:uid="{00000000-0005-0000-0000-00003E050000}"/>
    <cellStyle name="Normal 2 3 2 4 5 2" xfId="2442" xr:uid="{00000000-0005-0000-0000-00003F050000}"/>
    <cellStyle name="Normal 2 3 2 4 5 2 2" xfId="6302" xr:uid="{00000000-0005-0000-0000-000040050000}"/>
    <cellStyle name="Normal 2 3 2 4 5 2 3" xfId="11254" xr:uid="{00000000-0005-0000-0000-000041050000}"/>
    <cellStyle name="Normal 2 3 2 4 5 3" xfId="3670" xr:uid="{00000000-0005-0000-0000-000042050000}"/>
    <cellStyle name="Normal 2 3 2 4 5 3 2" xfId="7526" xr:uid="{00000000-0005-0000-0000-000043050000}"/>
    <cellStyle name="Normal 2 3 2 4 5 3 3" xfId="10012" xr:uid="{00000000-0005-0000-0000-000044050000}"/>
    <cellStyle name="Normal 2 3 2 4 5 4" xfId="5078" xr:uid="{00000000-0005-0000-0000-000045050000}"/>
    <cellStyle name="Normal 2 3 2 4 5 5" xfId="8770" xr:uid="{00000000-0005-0000-0000-000046050000}"/>
    <cellStyle name="Normal 2 3 2 4 6" xfId="1830" xr:uid="{00000000-0005-0000-0000-000047050000}"/>
    <cellStyle name="Normal 2 3 2 4 6 2" xfId="5690" xr:uid="{00000000-0005-0000-0000-000048050000}"/>
    <cellStyle name="Normal 2 3 2 4 6 3" xfId="10624" xr:uid="{00000000-0005-0000-0000-000049050000}"/>
    <cellStyle name="Normal 2 3 2 4 7" xfId="3057" xr:uid="{00000000-0005-0000-0000-00004A050000}"/>
    <cellStyle name="Normal 2 3 2 4 7 2" xfId="6914" xr:uid="{00000000-0005-0000-0000-00004B050000}"/>
    <cellStyle name="Normal 2 3 2 4 7 3" xfId="11830" xr:uid="{00000000-0005-0000-0000-00004C050000}"/>
    <cellStyle name="Normal 2 3 2 4 8" xfId="4466" xr:uid="{00000000-0005-0000-0000-00004D050000}"/>
    <cellStyle name="Normal 2 3 2 4 8 2" xfId="9382" xr:uid="{00000000-0005-0000-0000-00004E050000}"/>
    <cellStyle name="Normal 2 3 2 4 9" xfId="8139" xr:uid="{00000000-0005-0000-0000-00004F050000}"/>
    <cellStyle name="Normal 2 3 2 5" xfId="500" xr:uid="{00000000-0005-0000-0000-000050050000}"/>
    <cellStyle name="Normal 2 3 2 5 2" xfId="702" xr:uid="{00000000-0005-0000-0000-000051050000}"/>
    <cellStyle name="Normal 2 3 2 5 2 2" xfId="1052" xr:uid="{00000000-0005-0000-0000-000052050000}"/>
    <cellStyle name="Normal 2 3 2 5 2 2 2" xfId="1666" xr:uid="{00000000-0005-0000-0000-000053050000}"/>
    <cellStyle name="Normal 2 3 2 5 2 2 2 2" xfId="2892" xr:uid="{00000000-0005-0000-0000-000054050000}"/>
    <cellStyle name="Normal 2 3 2 5 2 2 2 2 2" xfId="6752" xr:uid="{00000000-0005-0000-0000-000055050000}"/>
    <cellStyle name="Normal 2 3 2 5 2 2 2 2 3" xfId="11704" xr:uid="{00000000-0005-0000-0000-000056050000}"/>
    <cellStyle name="Normal 2 3 2 5 2 2 2 3" xfId="4120" xr:uid="{00000000-0005-0000-0000-000057050000}"/>
    <cellStyle name="Normal 2 3 2 5 2 2 2 3 2" xfId="7976" xr:uid="{00000000-0005-0000-0000-000058050000}"/>
    <cellStyle name="Normal 2 3 2 5 2 2 2 3 3" xfId="10462" xr:uid="{00000000-0005-0000-0000-000059050000}"/>
    <cellStyle name="Normal 2 3 2 5 2 2 2 4" xfId="5528" xr:uid="{00000000-0005-0000-0000-00005A050000}"/>
    <cellStyle name="Normal 2 3 2 5 2 2 2 5" xfId="9220" xr:uid="{00000000-0005-0000-0000-00005B050000}"/>
    <cellStyle name="Normal 2 3 2 5 2 2 3" xfId="2280" xr:uid="{00000000-0005-0000-0000-00005C050000}"/>
    <cellStyle name="Normal 2 3 2 5 2 2 3 2" xfId="6140" xr:uid="{00000000-0005-0000-0000-00005D050000}"/>
    <cellStyle name="Normal 2 3 2 5 2 2 3 3" xfId="11056" xr:uid="{00000000-0005-0000-0000-00005E050000}"/>
    <cellStyle name="Normal 2 3 2 5 2 2 4" xfId="3508" xr:uid="{00000000-0005-0000-0000-00005F050000}"/>
    <cellStyle name="Normal 2 3 2 5 2 2 4 2" xfId="7364" xr:uid="{00000000-0005-0000-0000-000060050000}"/>
    <cellStyle name="Normal 2 3 2 5 2 2 4 3" xfId="9814" xr:uid="{00000000-0005-0000-0000-000061050000}"/>
    <cellStyle name="Normal 2 3 2 5 2 2 5" xfId="4916" xr:uid="{00000000-0005-0000-0000-000062050000}"/>
    <cellStyle name="Normal 2 3 2 5 2 2 6" xfId="8571" xr:uid="{00000000-0005-0000-0000-000063050000}"/>
    <cellStyle name="Normal 2 3 2 5 2 3" xfId="1360" xr:uid="{00000000-0005-0000-0000-000064050000}"/>
    <cellStyle name="Normal 2 3 2 5 2 3 2" xfId="2586" xr:uid="{00000000-0005-0000-0000-000065050000}"/>
    <cellStyle name="Normal 2 3 2 5 2 3 2 2" xfId="6446" xr:uid="{00000000-0005-0000-0000-000066050000}"/>
    <cellStyle name="Normal 2 3 2 5 2 3 2 3" xfId="11398" xr:uid="{00000000-0005-0000-0000-000067050000}"/>
    <cellStyle name="Normal 2 3 2 5 2 3 3" xfId="3814" xr:uid="{00000000-0005-0000-0000-000068050000}"/>
    <cellStyle name="Normal 2 3 2 5 2 3 3 2" xfId="7670" xr:uid="{00000000-0005-0000-0000-000069050000}"/>
    <cellStyle name="Normal 2 3 2 5 2 3 3 3" xfId="10156" xr:uid="{00000000-0005-0000-0000-00006A050000}"/>
    <cellStyle name="Normal 2 3 2 5 2 3 4" xfId="5222" xr:uid="{00000000-0005-0000-0000-00006B050000}"/>
    <cellStyle name="Normal 2 3 2 5 2 3 5" xfId="8914" xr:uid="{00000000-0005-0000-0000-00006C050000}"/>
    <cellStyle name="Normal 2 3 2 5 2 4" xfId="1974" xr:uid="{00000000-0005-0000-0000-00006D050000}"/>
    <cellStyle name="Normal 2 3 2 5 2 4 2" xfId="5834" xr:uid="{00000000-0005-0000-0000-00006E050000}"/>
    <cellStyle name="Normal 2 3 2 5 2 4 3" xfId="10768" xr:uid="{00000000-0005-0000-0000-00006F050000}"/>
    <cellStyle name="Normal 2 3 2 5 2 5" xfId="3201" xr:uid="{00000000-0005-0000-0000-000070050000}"/>
    <cellStyle name="Normal 2 3 2 5 2 5 2" xfId="7058" xr:uid="{00000000-0005-0000-0000-000071050000}"/>
    <cellStyle name="Normal 2 3 2 5 2 5 3" xfId="11974" xr:uid="{00000000-0005-0000-0000-000072050000}"/>
    <cellStyle name="Normal 2 3 2 5 2 6" xfId="4610" xr:uid="{00000000-0005-0000-0000-000073050000}"/>
    <cellStyle name="Normal 2 3 2 5 2 6 2" xfId="9526" xr:uid="{00000000-0005-0000-0000-000074050000}"/>
    <cellStyle name="Normal 2 3 2 5 2 7" xfId="8283" xr:uid="{00000000-0005-0000-0000-000075050000}"/>
    <cellStyle name="Normal 2 3 2 5 3" xfId="612" xr:uid="{00000000-0005-0000-0000-000076050000}"/>
    <cellStyle name="Normal 2 3 2 5 3 2" xfId="962" xr:uid="{00000000-0005-0000-0000-000077050000}"/>
    <cellStyle name="Normal 2 3 2 5 3 2 2" xfId="1576" xr:uid="{00000000-0005-0000-0000-000078050000}"/>
    <cellStyle name="Normal 2 3 2 5 3 2 2 2" xfId="2802" xr:uid="{00000000-0005-0000-0000-000079050000}"/>
    <cellStyle name="Normal 2 3 2 5 3 2 2 2 2" xfId="6662" xr:uid="{00000000-0005-0000-0000-00007A050000}"/>
    <cellStyle name="Normal 2 3 2 5 3 2 2 2 3" xfId="11614" xr:uid="{00000000-0005-0000-0000-00007B050000}"/>
    <cellStyle name="Normal 2 3 2 5 3 2 2 3" xfId="4030" xr:uid="{00000000-0005-0000-0000-00007C050000}"/>
    <cellStyle name="Normal 2 3 2 5 3 2 2 3 2" xfId="7886" xr:uid="{00000000-0005-0000-0000-00007D050000}"/>
    <cellStyle name="Normal 2 3 2 5 3 2 2 3 3" xfId="10372" xr:uid="{00000000-0005-0000-0000-00007E050000}"/>
    <cellStyle name="Normal 2 3 2 5 3 2 2 4" xfId="5438" xr:uid="{00000000-0005-0000-0000-00007F050000}"/>
    <cellStyle name="Normal 2 3 2 5 3 2 2 5" xfId="9130" xr:uid="{00000000-0005-0000-0000-000080050000}"/>
    <cellStyle name="Normal 2 3 2 5 3 2 3" xfId="2190" xr:uid="{00000000-0005-0000-0000-000081050000}"/>
    <cellStyle name="Normal 2 3 2 5 3 2 3 2" xfId="6050" xr:uid="{00000000-0005-0000-0000-000082050000}"/>
    <cellStyle name="Normal 2 3 2 5 3 2 3 3" xfId="10966" xr:uid="{00000000-0005-0000-0000-000083050000}"/>
    <cellStyle name="Normal 2 3 2 5 3 2 4" xfId="3418" xr:uid="{00000000-0005-0000-0000-000084050000}"/>
    <cellStyle name="Normal 2 3 2 5 3 2 4 2" xfId="7274" xr:uid="{00000000-0005-0000-0000-000085050000}"/>
    <cellStyle name="Normal 2 3 2 5 3 2 4 3" xfId="9724" xr:uid="{00000000-0005-0000-0000-000086050000}"/>
    <cellStyle name="Normal 2 3 2 5 3 2 5" xfId="4826" xr:uid="{00000000-0005-0000-0000-000087050000}"/>
    <cellStyle name="Normal 2 3 2 5 3 2 6" xfId="8481" xr:uid="{00000000-0005-0000-0000-000088050000}"/>
    <cellStyle name="Normal 2 3 2 5 3 3" xfId="1270" xr:uid="{00000000-0005-0000-0000-000089050000}"/>
    <cellStyle name="Normal 2 3 2 5 3 3 2" xfId="2496" xr:uid="{00000000-0005-0000-0000-00008A050000}"/>
    <cellStyle name="Normal 2 3 2 5 3 3 2 2" xfId="6356" xr:uid="{00000000-0005-0000-0000-00008B050000}"/>
    <cellStyle name="Normal 2 3 2 5 3 3 2 3" xfId="11308" xr:uid="{00000000-0005-0000-0000-00008C050000}"/>
    <cellStyle name="Normal 2 3 2 5 3 3 3" xfId="3724" xr:uid="{00000000-0005-0000-0000-00008D050000}"/>
    <cellStyle name="Normal 2 3 2 5 3 3 3 2" xfId="7580" xr:uid="{00000000-0005-0000-0000-00008E050000}"/>
    <cellStyle name="Normal 2 3 2 5 3 3 3 3" xfId="10066" xr:uid="{00000000-0005-0000-0000-00008F050000}"/>
    <cellStyle name="Normal 2 3 2 5 3 3 4" xfId="5132" xr:uid="{00000000-0005-0000-0000-000090050000}"/>
    <cellStyle name="Normal 2 3 2 5 3 3 5" xfId="8824" xr:uid="{00000000-0005-0000-0000-000091050000}"/>
    <cellStyle name="Normal 2 3 2 5 3 4" xfId="1884" xr:uid="{00000000-0005-0000-0000-000092050000}"/>
    <cellStyle name="Normal 2 3 2 5 3 4 2" xfId="5744" xr:uid="{00000000-0005-0000-0000-000093050000}"/>
    <cellStyle name="Normal 2 3 2 5 3 4 3" xfId="10678" xr:uid="{00000000-0005-0000-0000-000094050000}"/>
    <cellStyle name="Normal 2 3 2 5 3 5" xfId="3111" xr:uid="{00000000-0005-0000-0000-000095050000}"/>
    <cellStyle name="Normal 2 3 2 5 3 5 2" xfId="6968" xr:uid="{00000000-0005-0000-0000-000096050000}"/>
    <cellStyle name="Normal 2 3 2 5 3 5 3" xfId="11884" xr:uid="{00000000-0005-0000-0000-000097050000}"/>
    <cellStyle name="Normal 2 3 2 5 3 6" xfId="4520" xr:uid="{00000000-0005-0000-0000-000098050000}"/>
    <cellStyle name="Normal 2 3 2 5 3 6 2" xfId="9436" xr:uid="{00000000-0005-0000-0000-000099050000}"/>
    <cellStyle name="Normal 2 3 2 5 3 7" xfId="8193" xr:uid="{00000000-0005-0000-0000-00009A050000}"/>
    <cellStyle name="Normal 2 3 2 5 4" xfId="850" xr:uid="{00000000-0005-0000-0000-00009B050000}"/>
    <cellStyle name="Normal 2 3 2 5 4 2" xfId="1486" xr:uid="{00000000-0005-0000-0000-00009C050000}"/>
    <cellStyle name="Normal 2 3 2 5 4 2 2" xfId="2712" xr:uid="{00000000-0005-0000-0000-00009D050000}"/>
    <cellStyle name="Normal 2 3 2 5 4 2 2 2" xfId="6572" xr:uid="{00000000-0005-0000-0000-00009E050000}"/>
    <cellStyle name="Normal 2 3 2 5 4 2 2 3" xfId="11524" xr:uid="{00000000-0005-0000-0000-00009F050000}"/>
    <cellStyle name="Normal 2 3 2 5 4 2 3" xfId="3940" xr:uid="{00000000-0005-0000-0000-0000A0050000}"/>
    <cellStyle name="Normal 2 3 2 5 4 2 3 2" xfId="7796" xr:uid="{00000000-0005-0000-0000-0000A1050000}"/>
    <cellStyle name="Normal 2 3 2 5 4 2 3 3" xfId="10282" xr:uid="{00000000-0005-0000-0000-0000A2050000}"/>
    <cellStyle name="Normal 2 3 2 5 4 2 4" xfId="5348" xr:uid="{00000000-0005-0000-0000-0000A3050000}"/>
    <cellStyle name="Normal 2 3 2 5 4 2 5" xfId="9040" xr:uid="{00000000-0005-0000-0000-0000A4050000}"/>
    <cellStyle name="Normal 2 3 2 5 4 3" xfId="2100" xr:uid="{00000000-0005-0000-0000-0000A5050000}"/>
    <cellStyle name="Normal 2 3 2 5 4 3 2" xfId="5960" xr:uid="{00000000-0005-0000-0000-0000A6050000}"/>
    <cellStyle name="Normal 2 3 2 5 4 3 3" xfId="10876" xr:uid="{00000000-0005-0000-0000-0000A7050000}"/>
    <cellStyle name="Normal 2 3 2 5 4 4" xfId="3328" xr:uid="{00000000-0005-0000-0000-0000A8050000}"/>
    <cellStyle name="Normal 2 3 2 5 4 4 2" xfId="7184" xr:uid="{00000000-0005-0000-0000-0000A9050000}"/>
    <cellStyle name="Normal 2 3 2 5 4 4 3" xfId="9634" xr:uid="{00000000-0005-0000-0000-0000AA050000}"/>
    <cellStyle name="Normal 2 3 2 5 4 5" xfId="4736" xr:uid="{00000000-0005-0000-0000-0000AB050000}"/>
    <cellStyle name="Normal 2 3 2 5 4 6" xfId="8391" xr:uid="{00000000-0005-0000-0000-0000AC050000}"/>
    <cellStyle name="Normal 2 3 2 5 5" xfId="1180" xr:uid="{00000000-0005-0000-0000-0000AD050000}"/>
    <cellStyle name="Normal 2 3 2 5 5 2" xfId="2406" xr:uid="{00000000-0005-0000-0000-0000AE050000}"/>
    <cellStyle name="Normal 2 3 2 5 5 2 2" xfId="6266" xr:uid="{00000000-0005-0000-0000-0000AF050000}"/>
    <cellStyle name="Normal 2 3 2 5 5 2 3" xfId="11218" xr:uid="{00000000-0005-0000-0000-0000B0050000}"/>
    <cellStyle name="Normal 2 3 2 5 5 3" xfId="3634" xr:uid="{00000000-0005-0000-0000-0000B1050000}"/>
    <cellStyle name="Normal 2 3 2 5 5 3 2" xfId="7490" xr:uid="{00000000-0005-0000-0000-0000B2050000}"/>
    <cellStyle name="Normal 2 3 2 5 5 3 3" xfId="9976" xr:uid="{00000000-0005-0000-0000-0000B3050000}"/>
    <cellStyle name="Normal 2 3 2 5 5 4" xfId="5042" xr:uid="{00000000-0005-0000-0000-0000B4050000}"/>
    <cellStyle name="Normal 2 3 2 5 5 5" xfId="8734" xr:uid="{00000000-0005-0000-0000-0000B5050000}"/>
    <cellStyle name="Normal 2 3 2 5 6" xfId="1794" xr:uid="{00000000-0005-0000-0000-0000B6050000}"/>
    <cellStyle name="Normal 2 3 2 5 6 2" xfId="5654" xr:uid="{00000000-0005-0000-0000-0000B7050000}"/>
    <cellStyle name="Normal 2 3 2 5 6 3" xfId="10588" xr:uid="{00000000-0005-0000-0000-0000B8050000}"/>
    <cellStyle name="Normal 2 3 2 5 7" xfId="3021" xr:uid="{00000000-0005-0000-0000-0000B9050000}"/>
    <cellStyle name="Normal 2 3 2 5 7 2" xfId="6878" xr:uid="{00000000-0005-0000-0000-0000BA050000}"/>
    <cellStyle name="Normal 2 3 2 5 7 3" xfId="11794" xr:uid="{00000000-0005-0000-0000-0000BB050000}"/>
    <cellStyle name="Normal 2 3 2 5 8" xfId="4430" xr:uid="{00000000-0005-0000-0000-0000BC050000}"/>
    <cellStyle name="Normal 2 3 2 5 8 2" xfId="9346" xr:uid="{00000000-0005-0000-0000-0000BD050000}"/>
    <cellStyle name="Normal 2 3 2 5 9" xfId="8103" xr:uid="{00000000-0005-0000-0000-0000BE050000}"/>
    <cellStyle name="Normal 2 3 2 6" xfId="684" xr:uid="{00000000-0005-0000-0000-0000BF050000}"/>
    <cellStyle name="Normal 2 3 2 6 2" xfId="1034" xr:uid="{00000000-0005-0000-0000-0000C0050000}"/>
    <cellStyle name="Normal 2 3 2 6 2 2" xfId="1648" xr:uid="{00000000-0005-0000-0000-0000C1050000}"/>
    <cellStyle name="Normal 2 3 2 6 2 2 2" xfId="2874" xr:uid="{00000000-0005-0000-0000-0000C2050000}"/>
    <cellStyle name="Normal 2 3 2 6 2 2 2 2" xfId="6734" xr:uid="{00000000-0005-0000-0000-0000C3050000}"/>
    <cellStyle name="Normal 2 3 2 6 2 2 2 3" xfId="11686" xr:uid="{00000000-0005-0000-0000-0000C4050000}"/>
    <cellStyle name="Normal 2 3 2 6 2 2 3" xfId="4102" xr:uid="{00000000-0005-0000-0000-0000C5050000}"/>
    <cellStyle name="Normal 2 3 2 6 2 2 3 2" xfId="7958" xr:uid="{00000000-0005-0000-0000-0000C6050000}"/>
    <cellStyle name="Normal 2 3 2 6 2 2 3 3" xfId="10444" xr:uid="{00000000-0005-0000-0000-0000C7050000}"/>
    <cellStyle name="Normal 2 3 2 6 2 2 4" xfId="5510" xr:uid="{00000000-0005-0000-0000-0000C8050000}"/>
    <cellStyle name="Normal 2 3 2 6 2 2 5" xfId="9202" xr:uid="{00000000-0005-0000-0000-0000C9050000}"/>
    <cellStyle name="Normal 2 3 2 6 2 3" xfId="2262" xr:uid="{00000000-0005-0000-0000-0000CA050000}"/>
    <cellStyle name="Normal 2 3 2 6 2 3 2" xfId="6122" xr:uid="{00000000-0005-0000-0000-0000CB050000}"/>
    <cellStyle name="Normal 2 3 2 6 2 3 3" xfId="11038" xr:uid="{00000000-0005-0000-0000-0000CC050000}"/>
    <cellStyle name="Normal 2 3 2 6 2 4" xfId="3490" xr:uid="{00000000-0005-0000-0000-0000CD050000}"/>
    <cellStyle name="Normal 2 3 2 6 2 4 2" xfId="7346" xr:uid="{00000000-0005-0000-0000-0000CE050000}"/>
    <cellStyle name="Normal 2 3 2 6 2 4 3" xfId="9796" xr:uid="{00000000-0005-0000-0000-0000CF050000}"/>
    <cellStyle name="Normal 2 3 2 6 2 5" xfId="4898" xr:uid="{00000000-0005-0000-0000-0000D0050000}"/>
    <cellStyle name="Normal 2 3 2 6 2 6" xfId="8553" xr:uid="{00000000-0005-0000-0000-0000D1050000}"/>
    <cellStyle name="Normal 2 3 2 6 3" xfId="1342" xr:uid="{00000000-0005-0000-0000-0000D2050000}"/>
    <cellStyle name="Normal 2 3 2 6 3 2" xfId="2568" xr:uid="{00000000-0005-0000-0000-0000D3050000}"/>
    <cellStyle name="Normal 2 3 2 6 3 2 2" xfId="6428" xr:uid="{00000000-0005-0000-0000-0000D4050000}"/>
    <cellStyle name="Normal 2 3 2 6 3 2 3" xfId="11380" xr:uid="{00000000-0005-0000-0000-0000D5050000}"/>
    <cellStyle name="Normal 2 3 2 6 3 3" xfId="3796" xr:uid="{00000000-0005-0000-0000-0000D6050000}"/>
    <cellStyle name="Normal 2 3 2 6 3 3 2" xfId="7652" xr:uid="{00000000-0005-0000-0000-0000D7050000}"/>
    <cellStyle name="Normal 2 3 2 6 3 3 3" xfId="10138" xr:uid="{00000000-0005-0000-0000-0000D8050000}"/>
    <cellStyle name="Normal 2 3 2 6 3 4" xfId="5204" xr:uid="{00000000-0005-0000-0000-0000D9050000}"/>
    <cellStyle name="Normal 2 3 2 6 3 5" xfId="8896" xr:uid="{00000000-0005-0000-0000-0000DA050000}"/>
    <cellStyle name="Normal 2 3 2 6 4" xfId="1956" xr:uid="{00000000-0005-0000-0000-0000DB050000}"/>
    <cellStyle name="Normal 2 3 2 6 4 2" xfId="5816" xr:uid="{00000000-0005-0000-0000-0000DC050000}"/>
    <cellStyle name="Normal 2 3 2 6 4 3" xfId="10750" xr:uid="{00000000-0005-0000-0000-0000DD050000}"/>
    <cellStyle name="Normal 2 3 2 6 5" xfId="3183" xr:uid="{00000000-0005-0000-0000-0000DE050000}"/>
    <cellStyle name="Normal 2 3 2 6 5 2" xfId="7040" xr:uid="{00000000-0005-0000-0000-0000DF050000}"/>
    <cellStyle name="Normal 2 3 2 6 5 3" xfId="11956" xr:uid="{00000000-0005-0000-0000-0000E0050000}"/>
    <cellStyle name="Normal 2 3 2 6 6" xfId="4592" xr:uid="{00000000-0005-0000-0000-0000E1050000}"/>
    <cellStyle name="Normal 2 3 2 6 6 2" xfId="9508" xr:uid="{00000000-0005-0000-0000-0000E2050000}"/>
    <cellStyle name="Normal 2 3 2 6 7" xfId="8265" xr:uid="{00000000-0005-0000-0000-0000E3050000}"/>
    <cellStyle name="Normal 2 3 2 7" xfId="594" xr:uid="{00000000-0005-0000-0000-0000E4050000}"/>
    <cellStyle name="Normal 2 3 2 7 2" xfId="944" xr:uid="{00000000-0005-0000-0000-0000E5050000}"/>
    <cellStyle name="Normal 2 3 2 7 2 2" xfId="1558" xr:uid="{00000000-0005-0000-0000-0000E6050000}"/>
    <cellStyle name="Normal 2 3 2 7 2 2 2" xfId="2784" xr:uid="{00000000-0005-0000-0000-0000E7050000}"/>
    <cellStyle name="Normal 2 3 2 7 2 2 2 2" xfId="6644" xr:uid="{00000000-0005-0000-0000-0000E8050000}"/>
    <cellStyle name="Normal 2 3 2 7 2 2 2 3" xfId="11596" xr:uid="{00000000-0005-0000-0000-0000E9050000}"/>
    <cellStyle name="Normal 2 3 2 7 2 2 3" xfId="4012" xr:uid="{00000000-0005-0000-0000-0000EA050000}"/>
    <cellStyle name="Normal 2 3 2 7 2 2 3 2" xfId="7868" xr:uid="{00000000-0005-0000-0000-0000EB050000}"/>
    <cellStyle name="Normal 2 3 2 7 2 2 3 3" xfId="10354" xr:uid="{00000000-0005-0000-0000-0000EC050000}"/>
    <cellStyle name="Normal 2 3 2 7 2 2 4" xfId="5420" xr:uid="{00000000-0005-0000-0000-0000ED050000}"/>
    <cellStyle name="Normal 2 3 2 7 2 2 5" xfId="9112" xr:uid="{00000000-0005-0000-0000-0000EE050000}"/>
    <cellStyle name="Normal 2 3 2 7 2 3" xfId="2172" xr:uid="{00000000-0005-0000-0000-0000EF050000}"/>
    <cellStyle name="Normal 2 3 2 7 2 3 2" xfId="6032" xr:uid="{00000000-0005-0000-0000-0000F0050000}"/>
    <cellStyle name="Normal 2 3 2 7 2 3 3" xfId="10948" xr:uid="{00000000-0005-0000-0000-0000F1050000}"/>
    <cellStyle name="Normal 2 3 2 7 2 4" xfId="3400" xr:uid="{00000000-0005-0000-0000-0000F2050000}"/>
    <cellStyle name="Normal 2 3 2 7 2 4 2" xfId="7256" xr:uid="{00000000-0005-0000-0000-0000F3050000}"/>
    <cellStyle name="Normal 2 3 2 7 2 4 3" xfId="9706" xr:uid="{00000000-0005-0000-0000-0000F4050000}"/>
    <cellStyle name="Normal 2 3 2 7 2 5" xfId="4808" xr:uid="{00000000-0005-0000-0000-0000F5050000}"/>
    <cellStyle name="Normal 2 3 2 7 2 6" xfId="8463" xr:uid="{00000000-0005-0000-0000-0000F6050000}"/>
    <cellStyle name="Normal 2 3 2 7 3" xfId="1252" xr:uid="{00000000-0005-0000-0000-0000F7050000}"/>
    <cellStyle name="Normal 2 3 2 7 3 2" xfId="2478" xr:uid="{00000000-0005-0000-0000-0000F8050000}"/>
    <cellStyle name="Normal 2 3 2 7 3 2 2" xfId="6338" xr:uid="{00000000-0005-0000-0000-0000F9050000}"/>
    <cellStyle name="Normal 2 3 2 7 3 2 3" xfId="11290" xr:uid="{00000000-0005-0000-0000-0000FA050000}"/>
    <cellStyle name="Normal 2 3 2 7 3 3" xfId="3706" xr:uid="{00000000-0005-0000-0000-0000FB050000}"/>
    <cellStyle name="Normal 2 3 2 7 3 3 2" xfId="7562" xr:uid="{00000000-0005-0000-0000-0000FC050000}"/>
    <cellStyle name="Normal 2 3 2 7 3 3 3" xfId="10048" xr:uid="{00000000-0005-0000-0000-0000FD050000}"/>
    <cellStyle name="Normal 2 3 2 7 3 4" xfId="5114" xr:uid="{00000000-0005-0000-0000-0000FE050000}"/>
    <cellStyle name="Normal 2 3 2 7 3 5" xfId="8806" xr:uid="{00000000-0005-0000-0000-0000FF050000}"/>
    <cellStyle name="Normal 2 3 2 7 4" xfId="1866" xr:uid="{00000000-0005-0000-0000-000000060000}"/>
    <cellStyle name="Normal 2 3 2 7 4 2" xfId="5726" xr:uid="{00000000-0005-0000-0000-000001060000}"/>
    <cellStyle name="Normal 2 3 2 7 4 3" xfId="10660" xr:uid="{00000000-0005-0000-0000-000002060000}"/>
    <cellStyle name="Normal 2 3 2 7 5" xfId="3093" xr:uid="{00000000-0005-0000-0000-000003060000}"/>
    <cellStyle name="Normal 2 3 2 7 5 2" xfId="6950" xr:uid="{00000000-0005-0000-0000-000004060000}"/>
    <cellStyle name="Normal 2 3 2 7 5 3" xfId="11866" xr:uid="{00000000-0005-0000-0000-000005060000}"/>
    <cellStyle name="Normal 2 3 2 7 6" xfId="4502" xr:uid="{00000000-0005-0000-0000-000006060000}"/>
    <cellStyle name="Normal 2 3 2 7 6 2" xfId="9418" xr:uid="{00000000-0005-0000-0000-000007060000}"/>
    <cellStyle name="Normal 2 3 2 7 7" xfId="8175" xr:uid="{00000000-0005-0000-0000-000008060000}"/>
    <cellStyle name="Normal 2 3 2 8" xfId="480" xr:uid="{00000000-0005-0000-0000-000009060000}"/>
    <cellStyle name="Normal 2 3 2 8 2" xfId="830" xr:uid="{00000000-0005-0000-0000-00000A060000}"/>
    <cellStyle name="Normal 2 3 2 8 2 2" xfId="1468" xr:uid="{00000000-0005-0000-0000-00000B060000}"/>
    <cellStyle name="Normal 2 3 2 8 2 2 2" xfId="2694" xr:uid="{00000000-0005-0000-0000-00000C060000}"/>
    <cellStyle name="Normal 2 3 2 8 2 2 2 2" xfId="6554" xr:uid="{00000000-0005-0000-0000-00000D060000}"/>
    <cellStyle name="Normal 2 3 2 8 2 2 2 3" xfId="11506" xr:uid="{00000000-0005-0000-0000-00000E060000}"/>
    <cellStyle name="Normal 2 3 2 8 2 2 3" xfId="3922" xr:uid="{00000000-0005-0000-0000-00000F060000}"/>
    <cellStyle name="Normal 2 3 2 8 2 2 3 2" xfId="7778" xr:uid="{00000000-0005-0000-0000-000010060000}"/>
    <cellStyle name="Normal 2 3 2 8 2 2 3 3" xfId="10264" xr:uid="{00000000-0005-0000-0000-000011060000}"/>
    <cellStyle name="Normal 2 3 2 8 2 2 4" xfId="5330" xr:uid="{00000000-0005-0000-0000-000012060000}"/>
    <cellStyle name="Normal 2 3 2 8 2 2 5" xfId="9022" xr:uid="{00000000-0005-0000-0000-000013060000}"/>
    <cellStyle name="Normal 2 3 2 8 2 3" xfId="2082" xr:uid="{00000000-0005-0000-0000-000014060000}"/>
    <cellStyle name="Normal 2 3 2 8 2 3 2" xfId="5942" xr:uid="{00000000-0005-0000-0000-000015060000}"/>
    <cellStyle name="Normal 2 3 2 8 2 3 3" xfId="10858" xr:uid="{00000000-0005-0000-0000-000016060000}"/>
    <cellStyle name="Normal 2 3 2 8 2 4" xfId="3310" xr:uid="{00000000-0005-0000-0000-000017060000}"/>
    <cellStyle name="Normal 2 3 2 8 2 4 2" xfId="7166" xr:uid="{00000000-0005-0000-0000-000018060000}"/>
    <cellStyle name="Normal 2 3 2 8 2 4 3" xfId="9616" xr:uid="{00000000-0005-0000-0000-000019060000}"/>
    <cellStyle name="Normal 2 3 2 8 2 5" xfId="4718" xr:uid="{00000000-0005-0000-0000-00001A060000}"/>
    <cellStyle name="Normal 2 3 2 8 2 6" xfId="8373" xr:uid="{00000000-0005-0000-0000-00001B060000}"/>
    <cellStyle name="Normal 2 3 2 8 3" xfId="1162" xr:uid="{00000000-0005-0000-0000-00001C060000}"/>
    <cellStyle name="Normal 2 3 2 8 3 2" xfId="2388" xr:uid="{00000000-0005-0000-0000-00001D060000}"/>
    <cellStyle name="Normal 2 3 2 8 3 2 2" xfId="6248" xr:uid="{00000000-0005-0000-0000-00001E060000}"/>
    <cellStyle name="Normal 2 3 2 8 3 2 3" xfId="11200" xr:uid="{00000000-0005-0000-0000-00001F060000}"/>
    <cellStyle name="Normal 2 3 2 8 3 3" xfId="3616" xr:uid="{00000000-0005-0000-0000-000020060000}"/>
    <cellStyle name="Normal 2 3 2 8 3 3 2" xfId="7472" xr:uid="{00000000-0005-0000-0000-000021060000}"/>
    <cellStyle name="Normal 2 3 2 8 3 3 3" xfId="9958" xr:uid="{00000000-0005-0000-0000-000022060000}"/>
    <cellStyle name="Normal 2 3 2 8 3 4" xfId="5024" xr:uid="{00000000-0005-0000-0000-000023060000}"/>
    <cellStyle name="Normal 2 3 2 8 3 5" xfId="8716" xr:uid="{00000000-0005-0000-0000-000024060000}"/>
    <cellStyle name="Normal 2 3 2 8 4" xfId="1776" xr:uid="{00000000-0005-0000-0000-000025060000}"/>
    <cellStyle name="Normal 2 3 2 8 4 2" xfId="5636" xr:uid="{00000000-0005-0000-0000-000026060000}"/>
    <cellStyle name="Normal 2 3 2 8 4 3" xfId="10570" xr:uid="{00000000-0005-0000-0000-000027060000}"/>
    <cellStyle name="Normal 2 3 2 8 5" xfId="3003" xr:uid="{00000000-0005-0000-0000-000028060000}"/>
    <cellStyle name="Normal 2 3 2 8 5 2" xfId="6860" xr:uid="{00000000-0005-0000-0000-000029060000}"/>
    <cellStyle name="Normal 2 3 2 8 5 3" xfId="12046" xr:uid="{00000000-0005-0000-0000-00002A060000}"/>
    <cellStyle name="Normal 2 3 2 8 6" xfId="4412" xr:uid="{00000000-0005-0000-0000-00002B060000}"/>
    <cellStyle name="Normal 2 3 2 8 6 2" xfId="9328" xr:uid="{00000000-0005-0000-0000-00002C060000}"/>
    <cellStyle name="Normal 2 3 2 8 7" xfId="8085" xr:uid="{00000000-0005-0000-0000-00002D060000}"/>
    <cellStyle name="Normal 2 3 2 9" xfId="792" xr:uid="{00000000-0005-0000-0000-00002E060000}"/>
    <cellStyle name="Normal 2 3 2 9 2" xfId="1432" xr:uid="{00000000-0005-0000-0000-00002F060000}"/>
    <cellStyle name="Normal 2 3 2 9 2 2" xfId="2658" xr:uid="{00000000-0005-0000-0000-000030060000}"/>
    <cellStyle name="Normal 2 3 2 9 2 2 2" xfId="6518" xr:uid="{00000000-0005-0000-0000-000031060000}"/>
    <cellStyle name="Normal 2 3 2 9 2 2 3" xfId="11470" xr:uid="{00000000-0005-0000-0000-000032060000}"/>
    <cellStyle name="Normal 2 3 2 9 2 3" xfId="3886" xr:uid="{00000000-0005-0000-0000-000033060000}"/>
    <cellStyle name="Normal 2 3 2 9 2 3 2" xfId="7742" xr:uid="{00000000-0005-0000-0000-000034060000}"/>
    <cellStyle name="Normal 2 3 2 9 2 3 3" xfId="10228" xr:uid="{00000000-0005-0000-0000-000035060000}"/>
    <cellStyle name="Normal 2 3 2 9 2 4" xfId="5294" xr:uid="{00000000-0005-0000-0000-000036060000}"/>
    <cellStyle name="Normal 2 3 2 9 2 5" xfId="8986" xr:uid="{00000000-0005-0000-0000-000037060000}"/>
    <cellStyle name="Normal 2 3 2 9 3" xfId="2046" xr:uid="{00000000-0005-0000-0000-000038060000}"/>
    <cellStyle name="Normal 2 3 2 9 3 2" xfId="5906" xr:uid="{00000000-0005-0000-0000-000039060000}"/>
    <cellStyle name="Normal 2 3 2 9 3 3" xfId="10840" xr:uid="{00000000-0005-0000-0000-00003A060000}"/>
    <cellStyle name="Normal 2 3 2 9 4" xfId="3274" xr:uid="{00000000-0005-0000-0000-00003B060000}"/>
    <cellStyle name="Normal 2 3 2 9 4 2" xfId="7130" xr:uid="{00000000-0005-0000-0000-00003C060000}"/>
    <cellStyle name="Normal 2 3 2 9 4 3" xfId="9598" xr:uid="{00000000-0005-0000-0000-00003D060000}"/>
    <cellStyle name="Normal 2 3 2 9 5" xfId="4682" xr:uid="{00000000-0005-0000-0000-00003E060000}"/>
    <cellStyle name="Normal 2 3 2 9 6" xfId="8355" xr:uid="{00000000-0005-0000-0000-00003F060000}"/>
    <cellStyle name="Normal 2 3 3" xfId="443" xr:uid="{00000000-0005-0000-0000-000040060000}"/>
    <cellStyle name="Normal 2 3 3 10" xfId="1742" xr:uid="{00000000-0005-0000-0000-000041060000}"/>
    <cellStyle name="Normal 2 3 3 10 2" xfId="5602" xr:uid="{00000000-0005-0000-0000-000042060000}"/>
    <cellStyle name="Normal 2 3 3 10 3" xfId="10536" xr:uid="{00000000-0005-0000-0000-000043060000}"/>
    <cellStyle name="Normal 2 3 3 11" xfId="2969" xr:uid="{00000000-0005-0000-0000-000044060000}"/>
    <cellStyle name="Normal 2 3 3 11 2" xfId="6826" xr:uid="{00000000-0005-0000-0000-000045060000}"/>
    <cellStyle name="Normal 2 3 3 11 3" xfId="11778" xr:uid="{00000000-0005-0000-0000-000046060000}"/>
    <cellStyle name="Normal 2 3 3 12" xfId="4378" xr:uid="{00000000-0005-0000-0000-000047060000}"/>
    <cellStyle name="Normal 2 3 3 12 2" xfId="9294" xr:uid="{00000000-0005-0000-0000-000048060000}"/>
    <cellStyle name="Normal 2 3 3 13" xfId="8051" xr:uid="{00000000-0005-0000-0000-000049060000}"/>
    <cellStyle name="Normal 2 3 3 2" xfId="464" xr:uid="{00000000-0005-0000-0000-00004A060000}"/>
    <cellStyle name="Normal 2 3 3 2 10" xfId="4396" xr:uid="{00000000-0005-0000-0000-00004B060000}"/>
    <cellStyle name="Normal 2 3 3 2 10 2" xfId="9312" xr:uid="{00000000-0005-0000-0000-00004C060000}"/>
    <cellStyle name="Normal 2 3 3 2 11" xfId="8069" xr:uid="{00000000-0005-0000-0000-00004D060000}"/>
    <cellStyle name="Normal 2 3 3 2 2" xfId="577" xr:uid="{00000000-0005-0000-0000-00004E060000}"/>
    <cellStyle name="Normal 2 3 3 2 2 2" xfId="758" xr:uid="{00000000-0005-0000-0000-00004F060000}"/>
    <cellStyle name="Normal 2 3 3 2 2 2 2" xfId="1108" xr:uid="{00000000-0005-0000-0000-000050060000}"/>
    <cellStyle name="Normal 2 3 3 2 2 2 2 2" xfId="1722" xr:uid="{00000000-0005-0000-0000-000051060000}"/>
    <cellStyle name="Normal 2 3 3 2 2 2 2 2 2" xfId="2948" xr:uid="{00000000-0005-0000-0000-000052060000}"/>
    <cellStyle name="Normal 2 3 3 2 2 2 2 2 2 2" xfId="6808" xr:uid="{00000000-0005-0000-0000-000053060000}"/>
    <cellStyle name="Normal 2 3 3 2 2 2 2 2 2 3" xfId="11760" xr:uid="{00000000-0005-0000-0000-000054060000}"/>
    <cellStyle name="Normal 2 3 3 2 2 2 2 2 3" xfId="4176" xr:uid="{00000000-0005-0000-0000-000055060000}"/>
    <cellStyle name="Normal 2 3 3 2 2 2 2 2 3 2" xfId="8032" xr:uid="{00000000-0005-0000-0000-000056060000}"/>
    <cellStyle name="Normal 2 3 3 2 2 2 2 2 3 3" xfId="10518" xr:uid="{00000000-0005-0000-0000-000057060000}"/>
    <cellStyle name="Normal 2 3 3 2 2 2 2 2 4" xfId="5584" xr:uid="{00000000-0005-0000-0000-000058060000}"/>
    <cellStyle name="Normal 2 3 3 2 2 2 2 2 5" xfId="9276" xr:uid="{00000000-0005-0000-0000-000059060000}"/>
    <cellStyle name="Normal 2 3 3 2 2 2 2 3" xfId="2336" xr:uid="{00000000-0005-0000-0000-00005A060000}"/>
    <cellStyle name="Normal 2 3 3 2 2 2 2 3 2" xfId="6196" xr:uid="{00000000-0005-0000-0000-00005B060000}"/>
    <cellStyle name="Normal 2 3 3 2 2 2 2 3 3" xfId="11112" xr:uid="{00000000-0005-0000-0000-00005C060000}"/>
    <cellStyle name="Normal 2 3 3 2 2 2 2 4" xfId="3564" xr:uid="{00000000-0005-0000-0000-00005D060000}"/>
    <cellStyle name="Normal 2 3 3 2 2 2 2 4 2" xfId="7420" xr:uid="{00000000-0005-0000-0000-00005E060000}"/>
    <cellStyle name="Normal 2 3 3 2 2 2 2 4 3" xfId="9870" xr:uid="{00000000-0005-0000-0000-00005F060000}"/>
    <cellStyle name="Normal 2 3 3 2 2 2 2 5" xfId="4972" xr:uid="{00000000-0005-0000-0000-000060060000}"/>
    <cellStyle name="Normal 2 3 3 2 2 2 2 6" xfId="8627" xr:uid="{00000000-0005-0000-0000-000061060000}"/>
    <cellStyle name="Normal 2 3 3 2 2 2 3" xfId="1416" xr:uid="{00000000-0005-0000-0000-000062060000}"/>
    <cellStyle name="Normal 2 3 3 2 2 2 3 2" xfId="2642" xr:uid="{00000000-0005-0000-0000-000063060000}"/>
    <cellStyle name="Normal 2 3 3 2 2 2 3 2 2" xfId="6502" xr:uid="{00000000-0005-0000-0000-000064060000}"/>
    <cellStyle name="Normal 2 3 3 2 2 2 3 2 3" xfId="11454" xr:uid="{00000000-0005-0000-0000-000065060000}"/>
    <cellStyle name="Normal 2 3 3 2 2 2 3 3" xfId="3870" xr:uid="{00000000-0005-0000-0000-000066060000}"/>
    <cellStyle name="Normal 2 3 3 2 2 2 3 3 2" xfId="7726" xr:uid="{00000000-0005-0000-0000-000067060000}"/>
    <cellStyle name="Normal 2 3 3 2 2 2 3 3 3" xfId="10212" xr:uid="{00000000-0005-0000-0000-000068060000}"/>
    <cellStyle name="Normal 2 3 3 2 2 2 3 4" xfId="5278" xr:uid="{00000000-0005-0000-0000-000069060000}"/>
    <cellStyle name="Normal 2 3 3 2 2 2 3 5" xfId="8970" xr:uid="{00000000-0005-0000-0000-00006A060000}"/>
    <cellStyle name="Normal 2 3 3 2 2 2 4" xfId="2030" xr:uid="{00000000-0005-0000-0000-00006B060000}"/>
    <cellStyle name="Normal 2 3 3 2 2 2 4 2" xfId="5890" xr:uid="{00000000-0005-0000-0000-00006C060000}"/>
    <cellStyle name="Normal 2 3 3 2 2 2 4 3" xfId="10824" xr:uid="{00000000-0005-0000-0000-00006D060000}"/>
    <cellStyle name="Normal 2 3 3 2 2 2 5" xfId="3257" xr:uid="{00000000-0005-0000-0000-00006E060000}"/>
    <cellStyle name="Normal 2 3 3 2 2 2 5 2" xfId="7114" xr:uid="{00000000-0005-0000-0000-00006F060000}"/>
    <cellStyle name="Normal 2 3 3 2 2 2 5 3" xfId="12030" xr:uid="{00000000-0005-0000-0000-000070060000}"/>
    <cellStyle name="Normal 2 3 3 2 2 2 6" xfId="4666" xr:uid="{00000000-0005-0000-0000-000071060000}"/>
    <cellStyle name="Normal 2 3 3 2 2 2 6 2" xfId="9582" xr:uid="{00000000-0005-0000-0000-000072060000}"/>
    <cellStyle name="Normal 2 3 3 2 2 2 7" xfId="8339" xr:uid="{00000000-0005-0000-0000-000073060000}"/>
    <cellStyle name="Normal 2 3 3 2 2 3" xfId="668" xr:uid="{00000000-0005-0000-0000-000074060000}"/>
    <cellStyle name="Normal 2 3 3 2 2 3 2" xfId="1018" xr:uid="{00000000-0005-0000-0000-000075060000}"/>
    <cellStyle name="Normal 2 3 3 2 2 3 2 2" xfId="1632" xr:uid="{00000000-0005-0000-0000-000076060000}"/>
    <cellStyle name="Normal 2 3 3 2 2 3 2 2 2" xfId="2858" xr:uid="{00000000-0005-0000-0000-000077060000}"/>
    <cellStyle name="Normal 2 3 3 2 2 3 2 2 2 2" xfId="6718" xr:uid="{00000000-0005-0000-0000-000078060000}"/>
    <cellStyle name="Normal 2 3 3 2 2 3 2 2 2 3" xfId="11670" xr:uid="{00000000-0005-0000-0000-000079060000}"/>
    <cellStyle name="Normal 2 3 3 2 2 3 2 2 3" xfId="4086" xr:uid="{00000000-0005-0000-0000-00007A060000}"/>
    <cellStyle name="Normal 2 3 3 2 2 3 2 2 3 2" xfId="7942" xr:uid="{00000000-0005-0000-0000-00007B060000}"/>
    <cellStyle name="Normal 2 3 3 2 2 3 2 2 3 3" xfId="10428" xr:uid="{00000000-0005-0000-0000-00007C060000}"/>
    <cellStyle name="Normal 2 3 3 2 2 3 2 2 4" xfId="5494" xr:uid="{00000000-0005-0000-0000-00007D060000}"/>
    <cellStyle name="Normal 2 3 3 2 2 3 2 2 5" xfId="9186" xr:uid="{00000000-0005-0000-0000-00007E060000}"/>
    <cellStyle name="Normal 2 3 3 2 2 3 2 3" xfId="2246" xr:uid="{00000000-0005-0000-0000-00007F060000}"/>
    <cellStyle name="Normal 2 3 3 2 2 3 2 3 2" xfId="6106" xr:uid="{00000000-0005-0000-0000-000080060000}"/>
    <cellStyle name="Normal 2 3 3 2 2 3 2 3 3" xfId="11022" xr:uid="{00000000-0005-0000-0000-000081060000}"/>
    <cellStyle name="Normal 2 3 3 2 2 3 2 4" xfId="3474" xr:uid="{00000000-0005-0000-0000-000082060000}"/>
    <cellStyle name="Normal 2 3 3 2 2 3 2 4 2" xfId="7330" xr:uid="{00000000-0005-0000-0000-000083060000}"/>
    <cellStyle name="Normal 2 3 3 2 2 3 2 4 3" xfId="9780" xr:uid="{00000000-0005-0000-0000-000084060000}"/>
    <cellStyle name="Normal 2 3 3 2 2 3 2 5" xfId="4882" xr:uid="{00000000-0005-0000-0000-000085060000}"/>
    <cellStyle name="Normal 2 3 3 2 2 3 2 6" xfId="8537" xr:uid="{00000000-0005-0000-0000-000086060000}"/>
    <cellStyle name="Normal 2 3 3 2 2 3 3" xfId="1326" xr:uid="{00000000-0005-0000-0000-000087060000}"/>
    <cellStyle name="Normal 2 3 3 2 2 3 3 2" xfId="2552" xr:uid="{00000000-0005-0000-0000-000088060000}"/>
    <cellStyle name="Normal 2 3 3 2 2 3 3 2 2" xfId="6412" xr:uid="{00000000-0005-0000-0000-000089060000}"/>
    <cellStyle name="Normal 2 3 3 2 2 3 3 2 3" xfId="11364" xr:uid="{00000000-0005-0000-0000-00008A060000}"/>
    <cellStyle name="Normal 2 3 3 2 2 3 3 3" xfId="3780" xr:uid="{00000000-0005-0000-0000-00008B060000}"/>
    <cellStyle name="Normal 2 3 3 2 2 3 3 3 2" xfId="7636" xr:uid="{00000000-0005-0000-0000-00008C060000}"/>
    <cellStyle name="Normal 2 3 3 2 2 3 3 3 3" xfId="10122" xr:uid="{00000000-0005-0000-0000-00008D060000}"/>
    <cellStyle name="Normal 2 3 3 2 2 3 3 4" xfId="5188" xr:uid="{00000000-0005-0000-0000-00008E060000}"/>
    <cellStyle name="Normal 2 3 3 2 2 3 3 5" xfId="8880" xr:uid="{00000000-0005-0000-0000-00008F060000}"/>
    <cellStyle name="Normal 2 3 3 2 2 3 4" xfId="1940" xr:uid="{00000000-0005-0000-0000-000090060000}"/>
    <cellStyle name="Normal 2 3 3 2 2 3 4 2" xfId="5800" xr:uid="{00000000-0005-0000-0000-000091060000}"/>
    <cellStyle name="Normal 2 3 3 2 2 3 4 3" xfId="10734" xr:uid="{00000000-0005-0000-0000-000092060000}"/>
    <cellStyle name="Normal 2 3 3 2 2 3 5" xfId="3167" xr:uid="{00000000-0005-0000-0000-000093060000}"/>
    <cellStyle name="Normal 2 3 3 2 2 3 5 2" xfId="7024" xr:uid="{00000000-0005-0000-0000-000094060000}"/>
    <cellStyle name="Normal 2 3 3 2 2 3 5 3" xfId="11940" xr:uid="{00000000-0005-0000-0000-000095060000}"/>
    <cellStyle name="Normal 2 3 3 2 2 3 6" xfId="4576" xr:uid="{00000000-0005-0000-0000-000096060000}"/>
    <cellStyle name="Normal 2 3 3 2 2 3 6 2" xfId="9492" xr:uid="{00000000-0005-0000-0000-000097060000}"/>
    <cellStyle name="Normal 2 3 3 2 2 3 7" xfId="8249" xr:uid="{00000000-0005-0000-0000-000098060000}"/>
    <cellStyle name="Normal 2 3 3 2 2 4" xfId="927" xr:uid="{00000000-0005-0000-0000-000099060000}"/>
    <cellStyle name="Normal 2 3 3 2 2 4 2" xfId="1542" xr:uid="{00000000-0005-0000-0000-00009A060000}"/>
    <cellStyle name="Normal 2 3 3 2 2 4 2 2" xfId="2768" xr:uid="{00000000-0005-0000-0000-00009B060000}"/>
    <cellStyle name="Normal 2 3 3 2 2 4 2 2 2" xfId="6628" xr:uid="{00000000-0005-0000-0000-00009C060000}"/>
    <cellStyle name="Normal 2 3 3 2 2 4 2 2 3" xfId="11580" xr:uid="{00000000-0005-0000-0000-00009D060000}"/>
    <cellStyle name="Normal 2 3 3 2 2 4 2 3" xfId="3996" xr:uid="{00000000-0005-0000-0000-00009E060000}"/>
    <cellStyle name="Normal 2 3 3 2 2 4 2 3 2" xfId="7852" xr:uid="{00000000-0005-0000-0000-00009F060000}"/>
    <cellStyle name="Normal 2 3 3 2 2 4 2 3 3" xfId="10338" xr:uid="{00000000-0005-0000-0000-0000A0060000}"/>
    <cellStyle name="Normal 2 3 3 2 2 4 2 4" xfId="5404" xr:uid="{00000000-0005-0000-0000-0000A1060000}"/>
    <cellStyle name="Normal 2 3 3 2 2 4 2 5" xfId="9096" xr:uid="{00000000-0005-0000-0000-0000A2060000}"/>
    <cellStyle name="Normal 2 3 3 2 2 4 3" xfId="2156" xr:uid="{00000000-0005-0000-0000-0000A3060000}"/>
    <cellStyle name="Normal 2 3 3 2 2 4 3 2" xfId="6016" xr:uid="{00000000-0005-0000-0000-0000A4060000}"/>
    <cellStyle name="Normal 2 3 3 2 2 4 3 3" xfId="10932" xr:uid="{00000000-0005-0000-0000-0000A5060000}"/>
    <cellStyle name="Normal 2 3 3 2 2 4 4" xfId="3384" xr:uid="{00000000-0005-0000-0000-0000A6060000}"/>
    <cellStyle name="Normal 2 3 3 2 2 4 4 2" xfId="7240" xr:uid="{00000000-0005-0000-0000-0000A7060000}"/>
    <cellStyle name="Normal 2 3 3 2 2 4 4 3" xfId="9690" xr:uid="{00000000-0005-0000-0000-0000A8060000}"/>
    <cellStyle name="Normal 2 3 3 2 2 4 5" xfId="4792" xr:uid="{00000000-0005-0000-0000-0000A9060000}"/>
    <cellStyle name="Normal 2 3 3 2 2 4 6" xfId="8447" xr:uid="{00000000-0005-0000-0000-0000AA060000}"/>
    <cellStyle name="Normal 2 3 3 2 2 5" xfId="1236" xr:uid="{00000000-0005-0000-0000-0000AB060000}"/>
    <cellStyle name="Normal 2 3 3 2 2 5 2" xfId="2462" xr:uid="{00000000-0005-0000-0000-0000AC060000}"/>
    <cellStyle name="Normal 2 3 3 2 2 5 2 2" xfId="6322" xr:uid="{00000000-0005-0000-0000-0000AD060000}"/>
    <cellStyle name="Normal 2 3 3 2 2 5 2 3" xfId="11274" xr:uid="{00000000-0005-0000-0000-0000AE060000}"/>
    <cellStyle name="Normal 2 3 3 2 2 5 3" xfId="3690" xr:uid="{00000000-0005-0000-0000-0000AF060000}"/>
    <cellStyle name="Normal 2 3 3 2 2 5 3 2" xfId="7546" xr:uid="{00000000-0005-0000-0000-0000B0060000}"/>
    <cellStyle name="Normal 2 3 3 2 2 5 3 3" xfId="10032" xr:uid="{00000000-0005-0000-0000-0000B1060000}"/>
    <cellStyle name="Normal 2 3 3 2 2 5 4" xfId="5098" xr:uid="{00000000-0005-0000-0000-0000B2060000}"/>
    <cellStyle name="Normal 2 3 3 2 2 5 5" xfId="8790" xr:uid="{00000000-0005-0000-0000-0000B3060000}"/>
    <cellStyle name="Normal 2 3 3 2 2 6" xfId="1850" xr:uid="{00000000-0005-0000-0000-0000B4060000}"/>
    <cellStyle name="Normal 2 3 3 2 2 6 2" xfId="5710" xr:uid="{00000000-0005-0000-0000-0000B5060000}"/>
    <cellStyle name="Normal 2 3 3 2 2 6 3" xfId="10644" xr:uid="{00000000-0005-0000-0000-0000B6060000}"/>
    <cellStyle name="Normal 2 3 3 2 2 7" xfId="3077" xr:uid="{00000000-0005-0000-0000-0000B7060000}"/>
    <cellStyle name="Normal 2 3 3 2 2 7 2" xfId="6934" xr:uid="{00000000-0005-0000-0000-0000B8060000}"/>
    <cellStyle name="Normal 2 3 3 2 2 7 3" xfId="11850" xr:uid="{00000000-0005-0000-0000-0000B9060000}"/>
    <cellStyle name="Normal 2 3 3 2 2 8" xfId="4486" xr:uid="{00000000-0005-0000-0000-0000BA060000}"/>
    <cellStyle name="Normal 2 3 3 2 2 8 2" xfId="9402" xr:uid="{00000000-0005-0000-0000-0000BB060000}"/>
    <cellStyle name="Normal 2 3 3 2 2 9" xfId="8159" xr:uid="{00000000-0005-0000-0000-0000BC060000}"/>
    <cellStyle name="Normal 2 3 3 2 3" xfId="722" xr:uid="{00000000-0005-0000-0000-0000BD060000}"/>
    <cellStyle name="Normal 2 3 3 2 3 2" xfId="1072" xr:uid="{00000000-0005-0000-0000-0000BE060000}"/>
    <cellStyle name="Normal 2 3 3 2 3 2 2" xfId="1686" xr:uid="{00000000-0005-0000-0000-0000BF060000}"/>
    <cellStyle name="Normal 2 3 3 2 3 2 2 2" xfId="2912" xr:uid="{00000000-0005-0000-0000-0000C0060000}"/>
    <cellStyle name="Normal 2 3 3 2 3 2 2 2 2" xfId="6772" xr:uid="{00000000-0005-0000-0000-0000C1060000}"/>
    <cellStyle name="Normal 2 3 3 2 3 2 2 2 3" xfId="11724" xr:uid="{00000000-0005-0000-0000-0000C2060000}"/>
    <cellStyle name="Normal 2 3 3 2 3 2 2 3" xfId="4140" xr:uid="{00000000-0005-0000-0000-0000C3060000}"/>
    <cellStyle name="Normal 2 3 3 2 3 2 2 3 2" xfId="7996" xr:uid="{00000000-0005-0000-0000-0000C4060000}"/>
    <cellStyle name="Normal 2 3 3 2 3 2 2 3 3" xfId="10482" xr:uid="{00000000-0005-0000-0000-0000C5060000}"/>
    <cellStyle name="Normal 2 3 3 2 3 2 2 4" xfId="5548" xr:uid="{00000000-0005-0000-0000-0000C6060000}"/>
    <cellStyle name="Normal 2 3 3 2 3 2 2 5" xfId="9240" xr:uid="{00000000-0005-0000-0000-0000C7060000}"/>
    <cellStyle name="Normal 2 3 3 2 3 2 3" xfId="2300" xr:uid="{00000000-0005-0000-0000-0000C8060000}"/>
    <cellStyle name="Normal 2 3 3 2 3 2 3 2" xfId="6160" xr:uid="{00000000-0005-0000-0000-0000C9060000}"/>
    <cellStyle name="Normal 2 3 3 2 3 2 3 3" xfId="11076" xr:uid="{00000000-0005-0000-0000-0000CA060000}"/>
    <cellStyle name="Normal 2 3 3 2 3 2 4" xfId="3528" xr:uid="{00000000-0005-0000-0000-0000CB060000}"/>
    <cellStyle name="Normal 2 3 3 2 3 2 4 2" xfId="7384" xr:uid="{00000000-0005-0000-0000-0000CC060000}"/>
    <cellStyle name="Normal 2 3 3 2 3 2 4 3" xfId="9834" xr:uid="{00000000-0005-0000-0000-0000CD060000}"/>
    <cellStyle name="Normal 2 3 3 2 3 2 5" xfId="4936" xr:uid="{00000000-0005-0000-0000-0000CE060000}"/>
    <cellStyle name="Normal 2 3 3 2 3 2 6" xfId="8591" xr:uid="{00000000-0005-0000-0000-0000CF060000}"/>
    <cellStyle name="Normal 2 3 3 2 3 3" xfId="1380" xr:uid="{00000000-0005-0000-0000-0000D0060000}"/>
    <cellStyle name="Normal 2 3 3 2 3 3 2" xfId="2606" xr:uid="{00000000-0005-0000-0000-0000D1060000}"/>
    <cellStyle name="Normal 2 3 3 2 3 3 2 2" xfId="6466" xr:uid="{00000000-0005-0000-0000-0000D2060000}"/>
    <cellStyle name="Normal 2 3 3 2 3 3 2 3" xfId="11418" xr:uid="{00000000-0005-0000-0000-0000D3060000}"/>
    <cellStyle name="Normal 2 3 3 2 3 3 3" xfId="3834" xr:uid="{00000000-0005-0000-0000-0000D4060000}"/>
    <cellStyle name="Normal 2 3 3 2 3 3 3 2" xfId="7690" xr:uid="{00000000-0005-0000-0000-0000D5060000}"/>
    <cellStyle name="Normal 2 3 3 2 3 3 3 3" xfId="10176" xr:uid="{00000000-0005-0000-0000-0000D6060000}"/>
    <cellStyle name="Normal 2 3 3 2 3 3 4" xfId="5242" xr:uid="{00000000-0005-0000-0000-0000D7060000}"/>
    <cellStyle name="Normal 2 3 3 2 3 3 5" xfId="8934" xr:uid="{00000000-0005-0000-0000-0000D8060000}"/>
    <cellStyle name="Normal 2 3 3 2 3 4" xfId="1994" xr:uid="{00000000-0005-0000-0000-0000D9060000}"/>
    <cellStyle name="Normal 2 3 3 2 3 4 2" xfId="5854" xr:uid="{00000000-0005-0000-0000-0000DA060000}"/>
    <cellStyle name="Normal 2 3 3 2 3 4 3" xfId="10788" xr:uid="{00000000-0005-0000-0000-0000DB060000}"/>
    <cellStyle name="Normal 2 3 3 2 3 5" xfId="3221" xr:uid="{00000000-0005-0000-0000-0000DC060000}"/>
    <cellStyle name="Normal 2 3 3 2 3 5 2" xfId="7078" xr:uid="{00000000-0005-0000-0000-0000DD060000}"/>
    <cellStyle name="Normal 2 3 3 2 3 5 3" xfId="11994" xr:uid="{00000000-0005-0000-0000-0000DE060000}"/>
    <cellStyle name="Normal 2 3 3 2 3 6" xfId="4630" xr:uid="{00000000-0005-0000-0000-0000DF060000}"/>
    <cellStyle name="Normal 2 3 3 2 3 6 2" xfId="9546" xr:uid="{00000000-0005-0000-0000-0000E0060000}"/>
    <cellStyle name="Normal 2 3 3 2 3 7" xfId="8303" xr:uid="{00000000-0005-0000-0000-0000E1060000}"/>
    <cellStyle name="Normal 2 3 3 2 4" xfId="632" xr:uid="{00000000-0005-0000-0000-0000E2060000}"/>
    <cellStyle name="Normal 2 3 3 2 4 2" xfId="982" xr:uid="{00000000-0005-0000-0000-0000E3060000}"/>
    <cellStyle name="Normal 2 3 3 2 4 2 2" xfId="1596" xr:uid="{00000000-0005-0000-0000-0000E4060000}"/>
    <cellStyle name="Normal 2 3 3 2 4 2 2 2" xfId="2822" xr:uid="{00000000-0005-0000-0000-0000E5060000}"/>
    <cellStyle name="Normal 2 3 3 2 4 2 2 2 2" xfId="6682" xr:uid="{00000000-0005-0000-0000-0000E6060000}"/>
    <cellStyle name="Normal 2 3 3 2 4 2 2 2 3" xfId="11634" xr:uid="{00000000-0005-0000-0000-0000E7060000}"/>
    <cellStyle name="Normal 2 3 3 2 4 2 2 3" xfId="4050" xr:uid="{00000000-0005-0000-0000-0000E8060000}"/>
    <cellStyle name="Normal 2 3 3 2 4 2 2 3 2" xfId="7906" xr:uid="{00000000-0005-0000-0000-0000E9060000}"/>
    <cellStyle name="Normal 2 3 3 2 4 2 2 3 3" xfId="10392" xr:uid="{00000000-0005-0000-0000-0000EA060000}"/>
    <cellStyle name="Normal 2 3 3 2 4 2 2 4" xfId="5458" xr:uid="{00000000-0005-0000-0000-0000EB060000}"/>
    <cellStyle name="Normal 2 3 3 2 4 2 2 5" xfId="9150" xr:uid="{00000000-0005-0000-0000-0000EC060000}"/>
    <cellStyle name="Normal 2 3 3 2 4 2 3" xfId="2210" xr:uid="{00000000-0005-0000-0000-0000ED060000}"/>
    <cellStyle name="Normal 2 3 3 2 4 2 3 2" xfId="6070" xr:uid="{00000000-0005-0000-0000-0000EE060000}"/>
    <cellStyle name="Normal 2 3 3 2 4 2 3 3" xfId="10986" xr:uid="{00000000-0005-0000-0000-0000EF060000}"/>
    <cellStyle name="Normal 2 3 3 2 4 2 4" xfId="3438" xr:uid="{00000000-0005-0000-0000-0000F0060000}"/>
    <cellStyle name="Normal 2 3 3 2 4 2 4 2" xfId="7294" xr:uid="{00000000-0005-0000-0000-0000F1060000}"/>
    <cellStyle name="Normal 2 3 3 2 4 2 4 3" xfId="9744" xr:uid="{00000000-0005-0000-0000-0000F2060000}"/>
    <cellStyle name="Normal 2 3 3 2 4 2 5" xfId="4846" xr:uid="{00000000-0005-0000-0000-0000F3060000}"/>
    <cellStyle name="Normal 2 3 3 2 4 2 6" xfId="8501" xr:uid="{00000000-0005-0000-0000-0000F4060000}"/>
    <cellStyle name="Normal 2 3 3 2 4 3" xfId="1290" xr:uid="{00000000-0005-0000-0000-0000F5060000}"/>
    <cellStyle name="Normal 2 3 3 2 4 3 2" xfId="2516" xr:uid="{00000000-0005-0000-0000-0000F6060000}"/>
    <cellStyle name="Normal 2 3 3 2 4 3 2 2" xfId="6376" xr:uid="{00000000-0005-0000-0000-0000F7060000}"/>
    <cellStyle name="Normal 2 3 3 2 4 3 2 3" xfId="11328" xr:uid="{00000000-0005-0000-0000-0000F8060000}"/>
    <cellStyle name="Normal 2 3 3 2 4 3 3" xfId="3744" xr:uid="{00000000-0005-0000-0000-0000F9060000}"/>
    <cellStyle name="Normal 2 3 3 2 4 3 3 2" xfId="7600" xr:uid="{00000000-0005-0000-0000-0000FA060000}"/>
    <cellStyle name="Normal 2 3 3 2 4 3 3 3" xfId="10086" xr:uid="{00000000-0005-0000-0000-0000FB060000}"/>
    <cellStyle name="Normal 2 3 3 2 4 3 4" xfId="5152" xr:uid="{00000000-0005-0000-0000-0000FC060000}"/>
    <cellStyle name="Normal 2 3 3 2 4 3 5" xfId="8844" xr:uid="{00000000-0005-0000-0000-0000FD060000}"/>
    <cellStyle name="Normal 2 3 3 2 4 4" xfId="1904" xr:uid="{00000000-0005-0000-0000-0000FE060000}"/>
    <cellStyle name="Normal 2 3 3 2 4 4 2" xfId="5764" xr:uid="{00000000-0005-0000-0000-0000FF060000}"/>
    <cellStyle name="Normal 2 3 3 2 4 4 3" xfId="10698" xr:uid="{00000000-0005-0000-0000-000000070000}"/>
    <cellStyle name="Normal 2 3 3 2 4 5" xfId="3131" xr:uid="{00000000-0005-0000-0000-000001070000}"/>
    <cellStyle name="Normal 2 3 3 2 4 5 2" xfId="6988" xr:uid="{00000000-0005-0000-0000-000002070000}"/>
    <cellStyle name="Normal 2 3 3 2 4 5 3" xfId="11904" xr:uid="{00000000-0005-0000-0000-000003070000}"/>
    <cellStyle name="Normal 2 3 3 2 4 6" xfId="4540" xr:uid="{00000000-0005-0000-0000-000004070000}"/>
    <cellStyle name="Normal 2 3 3 2 4 6 2" xfId="9456" xr:uid="{00000000-0005-0000-0000-000005070000}"/>
    <cellStyle name="Normal 2 3 3 2 4 7" xfId="8213" xr:uid="{00000000-0005-0000-0000-000006070000}"/>
    <cellStyle name="Normal 2 3 3 2 5" xfId="538" xr:uid="{00000000-0005-0000-0000-000007070000}"/>
    <cellStyle name="Normal 2 3 3 2 5 2" xfId="888" xr:uid="{00000000-0005-0000-0000-000008070000}"/>
    <cellStyle name="Normal 2 3 3 2 5 2 2" xfId="1506" xr:uid="{00000000-0005-0000-0000-000009070000}"/>
    <cellStyle name="Normal 2 3 3 2 5 2 2 2" xfId="2732" xr:uid="{00000000-0005-0000-0000-00000A070000}"/>
    <cellStyle name="Normal 2 3 3 2 5 2 2 2 2" xfId="6592" xr:uid="{00000000-0005-0000-0000-00000B070000}"/>
    <cellStyle name="Normal 2 3 3 2 5 2 2 2 3" xfId="11544" xr:uid="{00000000-0005-0000-0000-00000C070000}"/>
    <cellStyle name="Normal 2 3 3 2 5 2 2 3" xfId="3960" xr:uid="{00000000-0005-0000-0000-00000D070000}"/>
    <cellStyle name="Normal 2 3 3 2 5 2 2 3 2" xfId="7816" xr:uid="{00000000-0005-0000-0000-00000E070000}"/>
    <cellStyle name="Normal 2 3 3 2 5 2 2 3 3" xfId="10302" xr:uid="{00000000-0005-0000-0000-00000F070000}"/>
    <cellStyle name="Normal 2 3 3 2 5 2 2 4" xfId="5368" xr:uid="{00000000-0005-0000-0000-000010070000}"/>
    <cellStyle name="Normal 2 3 3 2 5 2 2 5" xfId="9060" xr:uid="{00000000-0005-0000-0000-000011070000}"/>
    <cellStyle name="Normal 2 3 3 2 5 2 3" xfId="2120" xr:uid="{00000000-0005-0000-0000-000012070000}"/>
    <cellStyle name="Normal 2 3 3 2 5 2 3 2" xfId="5980" xr:uid="{00000000-0005-0000-0000-000013070000}"/>
    <cellStyle name="Normal 2 3 3 2 5 2 3 3" xfId="11148" xr:uid="{00000000-0005-0000-0000-000014070000}"/>
    <cellStyle name="Normal 2 3 3 2 5 2 4" xfId="3348" xr:uid="{00000000-0005-0000-0000-000015070000}"/>
    <cellStyle name="Normal 2 3 3 2 5 2 4 2" xfId="7204" xr:uid="{00000000-0005-0000-0000-000016070000}"/>
    <cellStyle name="Normal 2 3 3 2 5 2 4 3" xfId="9906" xr:uid="{00000000-0005-0000-0000-000017070000}"/>
    <cellStyle name="Normal 2 3 3 2 5 2 5" xfId="4756" xr:uid="{00000000-0005-0000-0000-000018070000}"/>
    <cellStyle name="Normal 2 3 3 2 5 2 6" xfId="8664" xr:uid="{00000000-0005-0000-0000-000019070000}"/>
    <cellStyle name="Normal 2 3 3 2 5 3" xfId="1200" xr:uid="{00000000-0005-0000-0000-00001A070000}"/>
    <cellStyle name="Normal 2 3 3 2 5 3 2" xfId="2426" xr:uid="{00000000-0005-0000-0000-00001B070000}"/>
    <cellStyle name="Normal 2 3 3 2 5 3 2 2" xfId="6286" xr:uid="{00000000-0005-0000-0000-00001C070000}"/>
    <cellStyle name="Normal 2 3 3 2 5 3 2 3" xfId="11238" xr:uid="{00000000-0005-0000-0000-00001D070000}"/>
    <cellStyle name="Normal 2 3 3 2 5 3 3" xfId="3654" xr:uid="{00000000-0005-0000-0000-00001E070000}"/>
    <cellStyle name="Normal 2 3 3 2 5 3 3 2" xfId="7510" xr:uid="{00000000-0005-0000-0000-00001F070000}"/>
    <cellStyle name="Normal 2 3 3 2 5 3 3 3" xfId="9996" xr:uid="{00000000-0005-0000-0000-000020070000}"/>
    <cellStyle name="Normal 2 3 3 2 5 3 4" xfId="5062" xr:uid="{00000000-0005-0000-0000-000021070000}"/>
    <cellStyle name="Normal 2 3 3 2 5 3 5" xfId="8754" xr:uid="{00000000-0005-0000-0000-000022070000}"/>
    <cellStyle name="Normal 2 3 3 2 5 4" xfId="1814" xr:uid="{00000000-0005-0000-0000-000023070000}"/>
    <cellStyle name="Normal 2 3 3 2 5 4 2" xfId="5674" xr:uid="{00000000-0005-0000-0000-000024070000}"/>
    <cellStyle name="Normal 2 3 3 2 5 4 2 2" xfId="11130" xr:uid="{00000000-0005-0000-0000-000025070000}"/>
    <cellStyle name="Normal 2 3 3 2 5 4 3" xfId="9888" xr:uid="{00000000-0005-0000-0000-000026070000}"/>
    <cellStyle name="Normal 2 3 3 2 5 4 4" xfId="8645" xr:uid="{00000000-0005-0000-0000-000027070000}"/>
    <cellStyle name="Normal 2 3 3 2 5 5" xfId="3041" xr:uid="{00000000-0005-0000-0000-000028070000}"/>
    <cellStyle name="Normal 2 3 3 2 5 5 2" xfId="6898" xr:uid="{00000000-0005-0000-0000-000029070000}"/>
    <cellStyle name="Normal 2 3 3 2 5 5 3" xfId="10608" xr:uid="{00000000-0005-0000-0000-00002A070000}"/>
    <cellStyle name="Normal 2 3 3 2 5 6" xfId="4450" xr:uid="{00000000-0005-0000-0000-00002B070000}"/>
    <cellStyle name="Normal 2 3 3 2 5 6 2" xfId="9366" xr:uid="{00000000-0005-0000-0000-00002C070000}"/>
    <cellStyle name="Normal 2 3 3 2 5 7" xfId="8123" xr:uid="{00000000-0005-0000-0000-00002D070000}"/>
    <cellStyle name="Normal 2 3 3 2 6" xfId="814" xr:uid="{00000000-0005-0000-0000-00002E070000}"/>
    <cellStyle name="Normal 2 3 3 2 6 2" xfId="1452" xr:uid="{00000000-0005-0000-0000-00002F070000}"/>
    <cellStyle name="Normal 2 3 3 2 6 2 2" xfId="2678" xr:uid="{00000000-0005-0000-0000-000030070000}"/>
    <cellStyle name="Normal 2 3 3 2 6 2 2 2" xfId="6538" xr:uid="{00000000-0005-0000-0000-000031070000}"/>
    <cellStyle name="Normal 2 3 3 2 6 2 2 3" xfId="11490" xr:uid="{00000000-0005-0000-0000-000032070000}"/>
    <cellStyle name="Normal 2 3 3 2 6 2 3" xfId="3906" xr:uid="{00000000-0005-0000-0000-000033070000}"/>
    <cellStyle name="Normal 2 3 3 2 6 2 3 2" xfId="7762" xr:uid="{00000000-0005-0000-0000-000034070000}"/>
    <cellStyle name="Normal 2 3 3 2 6 2 3 3" xfId="10248" xr:uid="{00000000-0005-0000-0000-000035070000}"/>
    <cellStyle name="Normal 2 3 3 2 6 2 4" xfId="5314" xr:uid="{00000000-0005-0000-0000-000036070000}"/>
    <cellStyle name="Normal 2 3 3 2 6 2 5" xfId="9006" xr:uid="{00000000-0005-0000-0000-000037070000}"/>
    <cellStyle name="Normal 2 3 3 2 6 3" xfId="2066" xr:uid="{00000000-0005-0000-0000-000038070000}"/>
    <cellStyle name="Normal 2 3 3 2 6 3 2" xfId="5926" xr:uid="{00000000-0005-0000-0000-000039070000}"/>
    <cellStyle name="Normal 2 3 3 2 6 3 3" xfId="10896" xr:uid="{00000000-0005-0000-0000-00003A070000}"/>
    <cellStyle name="Normal 2 3 3 2 6 4" xfId="3294" xr:uid="{00000000-0005-0000-0000-00003B070000}"/>
    <cellStyle name="Normal 2 3 3 2 6 4 2" xfId="7150" xr:uid="{00000000-0005-0000-0000-00003C070000}"/>
    <cellStyle name="Normal 2 3 3 2 6 4 3" xfId="9654" xr:uid="{00000000-0005-0000-0000-00003D070000}"/>
    <cellStyle name="Normal 2 3 3 2 6 5" xfId="4702" xr:uid="{00000000-0005-0000-0000-00003E070000}"/>
    <cellStyle name="Normal 2 3 3 2 6 6" xfId="8411" xr:uid="{00000000-0005-0000-0000-00003F070000}"/>
    <cellStyle name="Normal 2 3 3 2 7" xfId="1146" xr:uid="{00000000-0005-0000-0000-000040070000}"/>
    <cellStyle name="Normal 2 3 3 2 7 2" xfId="2372" xr:uid="{00000000-0005-0000-0000-000041070000}"/>
    <cellStyle name="Normal 2 3 3 2 7 2 2" xfId="6232" xr:uid="{00000000-0005-0000-0000-000042070000}"/>
    <cellStyle name="Normal 2 3 3 2 7 2 3" xfId="11184" xr:uid="{00000000-0005-0000-0000-000043070000}"/>
    <cellStyle name="Normal 2 3 3 2 7 3" xfId="3600" xr:uid="{00000000-0005-0000-0000-000044070000}"/>
    <cellStyle name="Normal 2 3 3 2 7 3 2" xfId="7456" xr:uid="{00000000-0005-0000-0000-000045070000}"/>
    <cellStyle name="Normal 2 3 3 2 7 3 3" xfId="9942" xr:uid="{00000000-0005-0000-0000-000046070000}"/>
    <cellStyle name="Normal 2 3 3 2 7 4" xfId="5008" xr:uid="{00000000-0005-0000-0000-000047070000}"/>
    <cellStyle name="Normal 2 3 3 2 7 5" xfId="8700" xr:uid="{00000000-0005-0000-0000-000048070000}"/>
    <cellStyle name="Normal 2 3 3 2 8" xfId="1760" xr:uid="{00000000-0005-0000-0000-000049070000}"/>
    <cellStyle name="Normal 2 3 3 2 8 2" xfId="5620" xr:uid="{00000000-0005-0000-0000-00004A070000}"/>
    <cellStyle name="Normal 2 3 3 2 8 3" xfId="10554" xr:uid="{00000000-0005-0000-0000-00004B070000}"/>
    <cellStyle name="Normal 2 3 3 2 9" xfId="2987" xr:uid="{00000000-0005-0000-0000-00004C070000}"/>
    <cellStyle name="Normal 2 3 3 2 9 2" xfId="6844" xr:uid="{00000000-0005-0000-0000-00004D070000}"/>
    <cellStyle name="Normal 2 3 3 2 9 3" xfId="11814" xr:uid="{00000000-0005-0000-0000-00004E070000}"/>
    <cellStyle name="Normal 2 3 3 3" xfId="559" xr:uid="{00000000-0005-0000-0000-00004F070000}"/>
    <cellStyle name="Normal 2 3 3 3 2" xfId="740" xr:uid="{00000000-0005-0000-0000-000050070000}"/>
    <cellStyle name="Normal 2 3 3 3 2 2" xfId="1090" xr:uid="{00000000-0005-0000-0000-000051070000}"/>
    <cellStyle name="Normal 2 3 3 3 2 2 2" xfId="1704" xr:uid="{00000000-0005-0000-0000-000052070000}"/>
    <cellStyle name="Normal 2 3 3 3 2 2 2 2" xfId="2930" xr:uid="{00000000-0005-0000-0000-000053070000}"/>
    <cellStyle name="Normal 2 3 3 3 2 2 2 2 2" xfId="6790" xr:uid="{00000000-0005-0000-0000-000054070000}"/>
    <cellStyle name="Normal 2 3 3 3 2 2 2 2 3" xfId="11742" xr:uid="{00000000-0005-0000-0000-000055070000}"/>
    <cellStyle name="Normal 2 3 3 3 2 2 2 3" xfId="4158" xr:uid="{00000000-0005-0000-0000-000056070000}"/>
    <cellStyle name="Normal 2 3 3 3 2 2 2 3 2" xfId="8014" xr:uid="{00000000-0005-0000-0000-000057070000}"/>
    <cellStyle name="Normal 2 3 3 3 2 2 2 3 3" xfId="10500" xr:uid="{00000000-0005-0000-0000-000058070000}"/>
    <cellStyle name="Normal 2 3 3 3 2 2 2 4" xfId="5566" xr:uid="{00000000-0005-0000-0000-000059070000}"/>
    <cellStyle name="Normal 2 3 3 3 2 2 2 5" xfId="9258" xr:uid="{00000000-0005-0000-0000-00005A070000}"/>
    <cellStyle name="Normal 2 3 3 3 2 2 3" xfId="2318" xr:uid="{00000000-0005-0000-0000-00005B070000}"/>
    <cellStyle name="Normal 2 3 3 3 2 2 3 2" xfId="6178" xr:uid="{00000000-0005-0000-0000-00005C070000}"/>
    <cellStyle name="Normal 2 3 3 3 2 2 3 3" xfId="11094" xr:uid="{00000000-0005-0000-0000-00005D070000}"/>
    <cellStyle name="Normal 2 3 3 3 2 2 4" xfId="3546" xr:uid="{00000000-0005-0000-0000-00005E070000}"/>
    <cellStyle name="Normal 2 3 3 3 2 2 4 2" xfId="7402" xr:uid="{00000000-0005-0000-0000-00005F070000}"/>
    <cellStyle name="Normal 2 3 3 3 2 2 4 3" xfId="9852" xr:uid="{00000000-0005-0000-0000-000060070000}"/>
    <cellStyle name="Normal 2 3 3 3 2 2 5" xfId="4954" xr:uid="{00000000-0005-0000-0000-000061070000}"/>
    <cellStyle name="Normal 2 3 3 3 2 2 6" xfId="8609" xr:uid="{00000000-0005-0000-0000-000062070000}"/>
    <cellStyle name="Normal 2 3 3 3 2 3" xfId="1398" xr:uid="{00000000-0005-0000-0000-000063070000}"/>
    <cellStyle name="Normal 2 3 3 3 2 3 2" xfId="2624" xr:uid="{00000000-0005-0000-0000-000064070000}"/>
    <cellStyle name="Normal 2 3 3 3 2 3 2 2" xfId="6484" xr:uid="{00000000-0005-0000-0000-000065070000}"/>
    <cellStyle name="Normal 2 3 3 3 2 3 2 3" xfId="11436" xr:uid="{00000000-0005-0000-0000-000066070000}"/>
    <cellStyle name="Normal 2 3 3 3 2 3 3" xfId="3852" xr:uid="{00000000-0005-0000-0000-000067070000}"/>
    <cellStyle name="Normal 2 3 3 3 2 3 3 2" xfId="7708" xr:uid="{00000000-0005-0000-0000-000068070000}"/>
    <cellStyle name="Normal 2 3 3 3 2 3 3 3" xfId="10194" xr:uid="{00000000-0005-0000-0000-000069070000}"/>
    <cellStyle name="Normal 2 3 3 3 2 3 4" xfId="5260" xr:uid="{00000000-0005-0000-0000-00006A070000}"/>
    <cellStyle name="Normal 2 3 3 3 2 3 5" xfId="8952" xr:uid="{00000000-0005-0000-0000-00006B070000}"/>
    <cellStyle name="Normal 2 3 3 3 2 4" xfId="2012" xr:uid="{00000000-0005-0000-0000-00006C070000}"/>
    <cellStyle name="Normal 2 3 3 3 2 4 2" xfId="5872" xr:uid="{00000000-0005-0000-0000-00006D070000}"/>
    <cellStyle name="Normal 2 3 3 3 2 4 3" xfId="10806" xr:uid="{00000000-0005-0000-0000-00006E070000}"/>
    <cellStyle name="Normal 2 3 3 3 2 5" xfId="3239" xr:uid="{00000000-0005-0000-0000-00006F070000}"/>
    <cellStyle name="Normal 2 3 3 3 2 5 2" xfId="7096" xr:uid="{00000000-0005-0000-0000-000070070000}"/>
    <cellStyle name="Normal 2 3 3 3 2 5 3" xfId="12012" xr:uid="{00000000-0005-0000-0000-000071070000}"/>
    <cellStyle name="Normal 2 3 3 3 2 6" xfId="4648" xr:uid="{00000000-0005-0000-0000-000072070000}"/>
    <cellStyle name="Normal 2 3 3 3 2 6 2" xfId="9564" xr:uid="{00000000-0005-0000-0000-000073070000}"/>
    <cellStyle name="Normal 2 3 3 3 2 7" xfId="8321" xr:uid="{00000000-0005-0000-0000-000074070000}"/>
    <cellStyle name="Normal 2 3 3 3 3" xfId="650" xr:uid="{00000000-0005-0000-0000-000075070000}"/>
    <cellStyle name="Normal 2 3 3 3 3 2" xfId="1000" xr:uid="{00000000-0005-0000-0000-000076070000}"/>
    <cellStyle name="Normal 2 3 3 3 3 2 2" xfId="1614" xr:uid="{00000000-0005-0000-0000-000077070000}"/>
    <cellStyle name="Normal 2 3 3 3 3 2 2 2" xfId="2840" xr:uid="{00000000-0005-0000-0000-000078070000}"/>
    <cellStyle name="Normal 2 3 3 3 3 2 2 2 2" xfId="6700" xr:uid="{00000000-0005-0000-0000-000079070000}"/>
    <cellStyle name="Normal 2 3 3 3 3 2 2 2 3" xfId="11652" xr:uid="{00000000-0005-0000-0000-00007A070000}"/>
    <cellStyle name="Normal 2 3 3 3 3 2 2 3" xfId="4068" xr:uid="{00000000-0005-0000-0000-00007B070000}"/>
    <cellStyle name="Normal 2 3 3 3 3 2 2 3 2" xfId="7924" xr:uid="{00000000-0005-0000-0000-00007C070000}"/>
    <cellStyle name="Normal 2 3 3 3 3 2 2 3 3" xfId="10410" xr:uid="{00000000-0005-0000-0000-00007D070000}"/>
    <cellStyle name="Normal 2 3 3 3 3 2 2 4" xfId="5476" xr:uid="{00000000-0005-0000-0000-00007E070000}"/>
    <cellStyle name="Normal 2 3 3 3 3 2 2 5" xfId="9168" xr:uid="{00000000-0005-0000-0000-00007F070000}"/>
    <cellStyle name="Normal 2 3 3 3 3 2 3" xfId="2228" xr:uid="{00000000-0005-0000-0000-000080070000}"/>
    <cellStyle name="Normal 2 3 3 3 3 2 3 2" xfId="6088" xr:uid="{00000000-0005-0000-0000-000081070000}"/>
    <cellStyle name="Normal 2 3 3 3 3 2 3 3" xfId="11004" xr:uid="{00000000-0005-0000-0000-000082070000}"/>
    <cellStyle name="Normal 2 3 3 3 3 2 4" xfId="3456" xr:uid="{00000000-0005-0000-0000-000083070000}"/>
    <cellStyle name="Normal 2 3 3 3 3 2 4 2" xfId="7312" xr:uid="{00000000-0005-0000-0000-000084070000}"/>
    <cellStyle name="Normal 2 3 3 3 3 2 4 3" xfId="9762" xr:uid="{00000000-0005-0000-0000-000085070000}"/>
    <cellStyle name="Normal 2 3 3 3 3 2 5" xfId="4864" xr:uid="{00000000-0005-0000-0000-000086070000}"/>
    <cellStyle name="Normal 2 3 3 3 3 2 6" xfId="8519" xr:uid="{00000000-0005-0000-0000-000087070000}"/>
    <cellStyle name="Normal 2 3 3 3 3 3" xfId="1308" xr:uid="{00000000-0005-0000-0000-000088070000}"/>
    <cellStyle name="Normal 2 3 3 3 3 3 2" xfId="2534" xr:uid="{00000000-0005-0000-0000-000089070000}"/>
    <cellStyle name="Normal 2 3 3 3 3 3 2 2" xfId="6394" xr:uid="{00000000-0005-0000-0000-00008A070000}"/>
    <cellStyle name="Normal 2 3 3 3 3 3 2 3" xfId="11346" xr:uid="{00000000-0005-0000-0000-00008B070000}"/>
    <cellStyle name="Normal 2 3 3 3 3 3 3" xfId="3762" xr:uid="{00000000-0005-0000-0000-00008C070000}"/>
    <cellStyle name="Normal 2 3 3 3 3 3 3 2" xfId="7618" xr:uid="{00000000-0005-0000-0000-00008D070000}"/>
    <cellStyle name="Normal 2 3 3 3 3 3 3 3" xfId="10104" xr:uid="{00000000-0005-0000-0000-00008E070000}"/>
    <cellStyle name="Normal 2 3 3 3 3 3 4" xfId="5170" xr:uid="{00000000-0005-0000-0000-00008F070000}"/>
    <cellStyle name="Normal 2 3 3 3 3 3 5" xfId="8862" xr:uid="{00000000-0005-0000-0000-000090070000}"/>
    <cellStyle name="Normal 2 3 3 3 3 4" xfId="1922" xr:uid="{00000000-0005-0000-0000-000091070000}"/>
    <cellStyle name="Normal 2 3 3 3 3 4 2" xfId="5782" xr:uid="{00000000-0005-0000-0000-000092070000}"/>
    <cellStyle name="Normal 2 3 3 3 3 4 3" xfId="10716" xr:uid="{00000000-0005-0000-0000-000093070000}"/>
    <cellStyle name="Normal 2 3 3 3 3 5" xfId="3149" xr:uid="{00000000-0005-0000-0000-000094070000}"/>
    <cellStyle name="Normal 2 3 3 3 3 5 2" xfId="7006" xr:uid="{00000000-0005-0000-0000-000095070000}"/>
    <cellStyle name="Normal 2 3 3 3 3 5 3" xfId="11922" xr:uid="{00000000-0005-0000-0000-000096070000}"/>
    <cellStyle name="Normal 2 3 3 3 3 6" xfId="4558" xr:uid="{00000000-0005-0000-0000-000097070000}"/>
    <cellStyle name="Normal 2 3 3 3 3 6 2" xfId="9474" xr:uid="{00000000-0005-0000-0000-000098070000}"/>
    <cellStyle name="Normal 2 3 3 3 3 7" xfId="8231" xr:uid="{00000000-0005-0000-0000-000099070000}"/>
    <cellStyle name="Normal 2 3 3 3 4" xfId="909" xr:uid="{00000000-0005-0000-0000-00009A070000}"/>
    <cellStyle name="Normal 2 3 3 3 4 2" xfId="1524" xr:uid="{00000000-0005-0000-0000-00009B070000}"/>
    <cellStyle name="Normal 2 3 3 3 4 2 2" xfId="2750" xr:uid="{00000000-0005-0000-0000-00009C070000}"/>
    <cellStyle name="Normal 2 3 3 3 4 2 2 2" xfId="6610" xr:uid="{00000000-0005-0000-0000-00009D070000}"/>
    <cellStyle name="Normal 2 3 3 3 4 2 2 3" xfId="11562" xr:uid="{00000000-0005-0000-0000-00009E070000}"/>
    <cellStyle name="Normal 2 3 3 3 4 2 3" xfId="3978" xr:uid="{00000000-0005-0000-0000-00009F070000}"/>
    <cellStyle name="Normal 2 3 3 3 4 2 3 2" xfId="7834" xr:uid="{00000000-0005-0000-0000-0000A0070000}"/>
    <cellStyle name="Normal 2 3 3 3 4 2 3 3" xfId="10320" xr:uid="{00000000-0005-0000-0000-0000A1070000}"/>
    <cellStyle name="Normal 2 3 3 3 4 2 4" xfId="5386" xr:uid="{00000000-0005-0000-0000-0000A2070000}"/>
    <cellStyle name="Normal 2 3 3 3 4 2 5" xfId="9078" xr:uid="{00000000-0005-0000-0000-0000A3070000}"/>
    <cellStyle name="Normal 2 3 3 3 4 3" xfId="2138" xr:uid="{00000000-0005-0000-0000-0000A4070000}"/>
    <cellStyle name="Normal 2 3 3 3 4 3 2" xfId="5998" xr:uid="{00000000-0005-0000-0000-0000A5070000}"/>
    <cellStyle name="Normal 2 3 3 3 4 3 3" xfId="10914" xr:uid="{00000000-0005-0000-0000-0000A6070000}"/>
    <cellStyle name="Normal 2 3 3 3 4 4" xfId="3366" xr:uid="{00000000-0005-0000-0000-0000A7070000}"/>
    <cellStyle name="Normal 2 3 3 3 4 4 2" xfId="7222" xr:uid="{00000000-0005-0000-0000-0000A8070000}"/>
    <cellStyle name="Normal 2 3 3 3 4 4 3" xfId="9672" xr:uid="{00000000-0005-0000-0000-0000A9070000}"/>
    <cellStyle name="Normal 2 3 3 3 4 5" xfId="4774" xr:uid="{00000000-0005-0000-0000-0000AA070000}"/>
    <cellStyle name="Normal 2 3 3 3 4 6" xfId="8429" xr:uid="{00000000-0005-0000-0000-0000AB070000}"/>
    <cellStyle name="Normal 2 3 3 3 5" xfId="1218" xr:uid="{00000000-0005-0000-0000-0000AC070000}"/>
    <cellStyle name="Normal 2 3 3 3 5 2" xfId="2444" xr:uid="{00000000-0005-0000-0000-0000AD070000}"/>
    <cellStyle name="Normal 2 3 3 3 5 2 2" xfId="6304" xr:uid="{00000000-0005-0000-0000-0000AE070000}"/>
    <cellStyle name="Normal 2 3 3 3 5 2 3" xfId="11256" xr:uid="{00000000-0005-0000-0000-0000AF070000}"/>
    <cellStyle name="Normal 2 3 3 3 5 3" xfId="3672" xr:uid="{00000000-0005-0000-0000-0000B0070000}"/>
    <cellStyle name="Normal 2 3 3 3 5 3 2" xfId="7528" xr:uid="{00000000-0005-0000-0000-0000B1070000}"/>
    <cellStyle name="Normal 2 3 3 3 5 3 3" xfId="10014" xr:uid="{00000000-0005-0000-0000-0000B2070000}"/>
    <cellStyle name="Normal 2 3 3 3 5 4" xfId="5080" xr:uid="{00000000-0005-0000-0000-0000B3070000}"/>
    <cellStyle name="Normal 2 3 3 3 5 5" xfId="8772" xr:uid="{00000000-0005-0000-0000-0000B4070000}"/>
    <cellStyle name="Normal 2 3 3 3 6" xfId="1832" xr:uid="{00000000-0005-0000-0000-0000B5070000}"/>
    <cellStyle name="Normal 2 3 3 3 6 2" xfId="5692" xr:uid="{00000000-0005-0000-0000-0000B6070000}"/>
    <cellStyle name="Normal 2 3 3 3 6 3" xfId="10626" xr:uid="{00000000-0005-0000-0000-0000B7070000}"/>
    <cellStyle name="Normal 2 3 3 3 7" xfId="3059" xr:uid="{00000000-0005-0000-0000-0000B8070000}"/>
    <cellStyle name="Normal 2 3 3 3 7 2" xfId="6916" xr:uid="{00000000-0005-0000-0000-0000B9070000}"/>
    <cellStyle name="Normal 2 3 3 3 7 3" xfId="11832" xr:uid="{00000000-0005-0000-0000-0000BA070000}"/>
    <cellStyle name="Normal 2 3 3 3 8" xfId="4468" xr:uid="{00000000-0005-0000-0000-0000BB070000}"/>
    <cellStyle name="Normal 2 3 3 3 8 2" xfId="9384" xr:uid="{00000000-0005-0000-0000-0000BC070000}"/>
    <cellStyle name="Normal 2 3 3 3 9" xfId="8141" xr:uid="{00000000-0005-0000-0000-0000BD070000}"/>
    <cellStyle name="Normal 2 3 3 4" xfId="502" xr:uid="{00000000-0005-0000-0000-0000BE070000}"/>
    <cellStyle name="Normal 2 3 3 4 2" xfId="704" xr:uid="{00000000-0005-0000-0000-0000BF070000}"/>
    <cellStyle name="Normal 2 3 3 4 2 2" xfId="1054" xr:uid="{00000000-0005-0000-0000-0000C0070000}"/>
    <cellStyle name="Normal 2 3 3 4 2 2 2" xfId="1668" xr:uid="{00000000-0005-0000-0000-0000C1070000}"/>
    <cellStyle name="Normal 2 3 3 4 2 2 2 2" xfId="2894" xr:uid="{00000000-0005-0000-0000-0000C2070000}"/>
    <cellStyle name="Normal 2 3 3 4 2 2 2 2 2" xfId="6754" xr:uid="{00000000-0005-0000-0000-0000C3070000}"/>
    <cellStyle name="Normal 2 3 3 4 2 2 2 2 3" xfId="11706" xr:uid="{00000000-0005-0000-0000-0000C4070000}"/>
    <cellStyle name="Normal 2 3 3 4 2 2 2 3" xfId="4122" xr:uid="{00000000-0005-0000-0000-0000C5070000}"/>
    <cellStyle name="Normal 2 3 3 4 2 2 2 3 2" xfId="7978" xr:uid="{00000000-0005-0000-0000-0000C6070000}"/>
    <cellStyle name="Normal 2 3 3 4 2 2 2 3 3" xfId="10464" xr:uid="{00000000-0005-0000-0000-0000C7070000}"/>
    <cellStyle name="Normal 2 3 3 4 2 2 2 4" xfId="5530" xr:uid="{00000000-0005-0000-0000-0000C8070000}"/>
    <cellStyle name="Normal 2 3 3 4 2 2 2 5" xfId="9222" xr:uid="{00000000-0005-0000-0000-0000C9070000}"/>
    <cellStyle name="Normal 2 3 3 4 2 2 3" xfId="2282" xr:uid="{00000000-0005-0000-0000-0000CA070000}"/>
    <cellStyle name="Normal 2 3 3 4 2 2 3 2" xfId="6142" xr:uid="{00000000-0005-0000-0000-0000CB070000}"/>
    <cellStyle name="Normal 2 3 3 4 2 2 3 3" xfId="11058" xr:uid="{00000000-0005-0000-0000-0000CC070000}"/>
    <cellStyle name="Normal 2 3 3 4 2 2 4" xfId="3510" xr:uid="{00000000-0005-0000-0000-0000CD070000}"/>
    <cellStyle name="Normal 2 3 3 4 2 2 4 2" xfId="7366" xr:uid="{00000000-0005-0000-0000-0000CE070000}"/>
    <cellStyle name="Normal 2 3 3 4 2 2 4 3" xfId="9816" xr:uid="{00000000-0005-0000-0000-0000CF070000}"/>
    <cellStyle name="Normal 2 3 3 4 2 2 5" xfId="4918" xr:uid="{00000000-0005-0000-0000-0000D0070000}"/>
    <cellStyle name="Normal 2 3 3 4 2 2 6" xfId="8573" xr:uid="{00000000-0005-0000-0000-0000D1070000}"/>
    <cellStyle name="Normal 2 3 3 4 2 3" xfId="1362" xr:uid="{00000000-0005-0000-0000-0000D2070000}"/>
    <cellStyle name="Normal 2 3 3 4 2 3 2" xfId="2588" xr:uid="{00000000-0005-0000-0000-0000D3070000}"/>
    <cellStyle name="Normal 2 3 3 4 2 3 2 2" xfId="6448" xr:uid="{00000000-0005-0000-0000-0000D4070000}"/>
    <cellStyle name="Normal 2 3 3 4 2 3 2 3" xfId="11400" xr:uid="{00000000-0005-0000-0000-0000D5070000}"/>
    <cellStyle name="Normal 2 3 3 4 2 3 3" xfId="3816" xr:uid="{00000000-0005-0000-0000-0000D6070000}"/>
    <cellStyle name="Normal 2 3 3 4 2 3 3 2" xfId="7672" xr:uid="{00000000-0005-0000-0000-0000D7070000}"/>
    <cellStyle name="Normal 2 3 3 4 2 3 3 3" xfId="10158" xr:uid="{00000000-0005-0000-0000-0000D8070000}"/>
    <cellStyle name="Normal 2 3 3 4 2 3 4" xfId="5224" xr:uid="{00000000-0005-0000-0000-0000D9070000}"/>
    <cellStyle name="Normal 2 3 3 4 2 3 5" xfId="8916" xr:uid="{00000000-0005-0000-0000-0000DA070000}"/>
    <cellStyle name="Normal 2 3 3 4 2 4" xfId="1976" xr:uid="{00000000-0005-0000-0000-0000DB070000}"/>
    <cellStyle name="Normal 2 3 3 4 2 4 2" xfId="5836" xr:uid="{00000000-0005-0000-0000-0000DC070000}"/>
    <cellStyle name="Normal 2 3 3 4 2 4 3" xfId="10770" xr:uid="{00000000-0005-0000-0000-0000DD070000}"/>
    <cellStyle name="Normal 2 3 3 4 2 5" xfId="3203" xr:uid="{00000000-0005-0000-0000-0000DE070000}"/>
    <cellStyle name="Normal 2 3 3 4 2 5 2" xfId="7060" xr:uid="{00000000-0005-0000-0000-0000DF070000}"/>
    <cellStyle name="Normal 2 3 3 4 2 5 3" xfId="11976" xr:uid="{00000000-0005-0000-0000-0000E0070000}"/>
    <cellStyle name="Normal 2 3 3 4 2 6" xfId="4612" xr:uid="{00000000-0005-0000-0000-0000E1070000}"/>
    <cellStyle name="Normal 2 3 3 4 2 6 2" xfId="9528" xr:uid="{00000000-0005-0000-0000-0000E2070000}"/>
    <cellStyle name="Normal 2 3 3 4 2 7" xfId="8285" xr:uid="{00000000-0005-0000-0000-0000E3070000}"/>
    <cellStyle name="Normal 2 3 3 4 3" xfId="614" xr:uid="{00000000-0005-0000-0000-0000E4070000}"/>
    <cellStyle name="Normal 2 3 3 4 3 2" xfId="964" xr:uid="{00000000-0005-0000-0000-0000E5070000}"/>
    <cellStyle name="Normal 2 3 3 4 3 2 2" xfId="1578" xr:uid="{00000000-0005-0000-0000-0000E6070000}"/>
    <cellStyle name="Normal 2 3 3 4 3 2 2 2" xfId="2804" xr:uid="{00000000-0005-0000-0000-0000E7070000}"/>
    <cellStyle name="Normal 2 3 3 4 3 2 2 2 2" xfId="6664" xr:uid="{00000000-0005-0000-0000-0000E8070000}"/>
    <cellStyle name="Normal 2 3 3 4 3 2 2 2 3" xfId="11616" xr:uid="{00000000-0005-0000-0000-0000E9070000}"/>
    <cellStyle name="Normal 2 3 3 4 3 2 2 3" xfId="4032" xr:uid="{00000000-0005-0000-0000-0000EA070000}"/>
    <cellStyle name="Normal 2 3 3 4 3 2 2 3 2" xfId="7888" xr:uid="{00000000-0005-0000-0000-0000EB070000}"/>
    <cellStyle name="Normal 2 3 3 4 3 2 2 3 3" xfId="10374" xr:uid="{00000000-0005-0000-0000-0000EC070000}"/>
    <cellStyle name="Normal 2 3 3 4 3 2 2 4" xfId="5440" xr:uid="{00000000-0005-0000-0000-0000ED070000}"/>
    <cellStyle name="Normal 2 3 3 4 3 2 2 5" xfId="9132" xr:uid="{00000000-0005-0000-0000-0000EE070000}"/>
    <cellStyle name="Normal 2 3 3 4 3 2 3" xfId="2192" xr:uid="{00000000-0005-0000-0000-0000EF070000}"/>
    <cellStyle name="Normal 2 3 3 4 3 2 3 2" xfId="6052" xr:uid="{00000000-0005-0000-0000-0000F0070000}"/>
    <cellStyle name="Normal 2 3 3 4 3 2 3 3" xfId="10968" xr:uid="{00000000-0005-0000-0000-0000F1070000}"/>
    <cellStyle name="Normal 2 3 3 4 3 2 4" xfId="3420" xr:uid="{00000000-0005-0000-0000-0000F2070000}"/>
    <cellStyle name="Normal 2 3 3 4 3 2 4 2" xfId="7276" xr:uid="{00000000-0005-0000-0000-0000F3070000}"/>
    <cellStyle name="Normal 2 3 3 4 3 2 4 3" xfId="9726" xr:uid="{00000000-0005-0000-0000-0000F4070000}"/>
    <cellStyle name="Normal 2 3 3 4 3 2 5" xfId="4828" xr:uid="{00000000-0005-0000-0000-0000F5070000}"/>
    <cellStyle name="Normal 2 3 3 4 3 2 6" xfId="8483" xr:uid="{00000000-0005-0000-0000-0000F6070000}"/>
    <cellStyle name="Normal 2 3 3 4 3 3" xfId="1272" xr:uid="{00000000-0005-0000-0000-0000F7070000}"/>
    <cellStyle name="Normal 2 3 3 4 3 3 2" xfId="2498" xr:uid="{00000000-0005-0000-0000-0000F8070000}"/>
    <cellStyle name="Normal 2 3 3 4 3 3 2 2" xfId="6358" xr:uid="{00000000-0005-0000-0000-0000F9070000}"/>
    <cellStyle name="Normal 2 3 3 4 3 3 2 3" xfId="11310" xr:uid="{00000000-0005-0000-0000-0000FA070000}"/>
    <cellStyle name="Normal 2 3 3 4 3 3 3" xfId="3726" xr:uid="{00000000-0005-0000-0000-0000FB070000}"/>
    <cellStyle name="Normal 2 3 3 4 3 3 3 2" xfId="7582" xr:uid="{00000000-0005-0000-0000-0000FC070000}"/>
    <cellStyle name="Normal 2 3 3 4 3 3 3 3" xfId="10068" xr:uid="{00000000-0005-0000-0000-0000FD070000}"/>
    <cellStyle name="Normal 2 3 3 4 3 3 4" xfId="5134" xr:uid="{00000000-0005-0000-0000-0000FE070000}"/>
    <cellStyle name="Normal 2 3 3 4 3 3 5" xfId="8826" xr:uid="{00000000-0005-0000-0000-0000FF070000}"/>
    <cellStyle name="Normal 2 3 3 4 3 4" xfId="1886" xr:uid="{00000000-0005-0000-0000-000000080000}"/>
    <cellStyle name="Normal 2 3 3 4 3 4 2" xfId="5746" xr:uid="{00000000-0005-0000-0000-000001080000}"/>
    <cellStyle name="Normal 2 3 3 4 3 4 3" xfId="10680" xr:uid="{00000000-0005-0000-0000-000002080000}"/>
    <cellStyle name="Normal 2 3 3 4 3 5" xfId="3113" xr:uid="{00000000-0005-0000-0000-000003080000}"/>
    <cellStyle name="Normal 2 3 3 4 3 5 2" xfId="6970" xr:uid="{00000000-0005-0000-0000-000004080000}"/>
    <cellStyle name="Normal 2 3 3 4 3 5 3" xfId="11886" xr:uid="{00000000-0005-0000-0000-000005080000}"/>
    <cellStyle name="Normal 2 3 3 4 3 6" xfId="4522" xr:uid="{00000000-0005-0000-0000-000006080000}"/>
    <cellStyle name="Normal 2 3 3 4 3 6 2" xfId="9438" xr:uid="{00000000-0005-0000-0000-000007080000}"/>
    <cellStyle name="Normal 2 3 3 4 3 7" xfId="8195" xr:uid="{00000000-0005-0000-0000-000008080000}"/>
    <cellStyle name="Normal 2 3 3 4 4" xfId="852" xr:uid="{00000000-0005-0000-0000-000009080000}"/>
    <cellStyle name="Normal 2 3 3 4 4 2" xfId="1488" xr:uid="{00000000-0005-0000-0000-00000A080000}"/>
    <cellStyle name="Normal 2 3 3 4 4 2 2" xfId="2714" xr:uid="{00000000-0005-0000-0000-00000B080000}"/>
    <cellStyle name="Normal 2 3 3 4 4 2 2 2" xfId="6574" xr:uid="{00000000-0005-0000-0000-00000C080000}"/>
    <cellStyle name="Normal 2 3 3 4 4 2 2 3" xfId="11526" xr:uid="{00000000-0005-0000-0000-00000D080000}"/>
    <cellStyle name="Normal 2 3 3 4 4 2 3" xfId="3942" xr:uid="{00000000-0005-0000-0000-00000E080000}"/>
    <cellStyle name="Normal 2 3 3 4 4 2 3 2" xfId="7798" xr:uid="{00000000-0005-0000-0000-00000F080000}"/>
    <cellStyle name="Normal 2 3 3 4 4 2 3 3" xfId="10284" xr:uid="{00000000-0005-0000-0000-000010080000}"/>
    <cellStyle name="Normal 2 3 3 4 4 2 4" xfId="5350" xr:uid="{00000000-0005-0000-0000-000011080000}"/>
    <cellStyle name="Normal 2 3 3 4 4 2 5" xfId="9042" xr:uid="{00000000-0005-0000-0000-000012080000}"/>
    <cellStyle name="Normal 2 3 3 4 4 3" xfId="2102" xr:uid="{00000000-0005-0000-0000-000013080000}"/>
    <cellStyle name="Normal 2 3 3 4 4 3 2" xfId="5962" xr:uid="{00000000-0005-0000-0000-000014080000}"/>
    <cellStyle name="Normal 2 3 3 4 4 3 3" xfId="10878" xr:uid="{00000000-0005-0000-0000-000015080000}"/>
    <cellStyle name="Normal 2 3 3 4 4 4" xfId="3330" xr:uid="{00000000-0005-0000-0000-000016080000}"/>
    <cellStyle name="Normal 2 3 3 4 4 4 2" xfId="7186" xr:uid="{00000000-0005-0000-0000-000017080000}"/>
    <cellStyle name="Normal 2 3 3 4 4 4 3" xfId="9636" xr:uid="{00000000-0005-0000-0000-000018080000}"/>
    <cellStyle name="Normal 2 3 3 4 4 5" xfId="4738" xr:uid="{00000000-0005-0000-0000-000019080000}"/>
    <cellStyle name="Normal 2 3 3 4 4 6" xfId="8393" xr:uid="{00000000-0005-0000-0000-00001A080000}"/>
    <cellStyle name="Normal 2 3 3 4 5" xfId="1182" xr:uid="{00000000-0005-0000-0000-00001B080000}"/>
    <cellStyle name="Normal 2 3 3 4 5 2" xfId="2408" xr:uid="{00000000-0005-0000-0000-00001C080000}"/>
    <cellStyle name="Normal 2 3 3 4 5 2 2" xfId="6268" xr:uid="{00000000-0005-0000-0000-00001D080000}"/>
    <cellStyle name="Normal 2 3 3 4 5 2 3" xfId="11220" xr:uid="{00000000-0005-0000-0000-00001E080000}"/>
    <cellStyle name="Normal 2 3 3 4 5 3" xfId="3636" xr:uid="{00000000-0005-0000-0000-00001F080000}"/>
    <cellStyle name="Normal 2 3 3 4 5 3 2" xfId="7492" xr:uid="{00000000-0005-0000-0000-000020080000}"/>
    <cellStyle name="Normal 2 3 3 4 5 3 3" xfId="9978" xr:uid="{00000000-0005-0000-0000-000021080000}"/>
    <cellStyle name="Normal 2 3 3 4 5 4" xfId="5044" xr:uid="{00000000-0005-0000-0000-000022080000}"/>
    <cellStyle name="Normal 2 3 3 4 5 5" xfId="8736" xr:uid="{00000000-0005-0000-0000-000023080000}"/>
    <cellStyle name="Normal 2 3 3 4 6" xfId="1796" xr:uid="{00000000-0005-0000-0000-000024080000}"/>
    <cellStyle name="Normal 2 3 3 4 6 2" xfId="5656" xr:uid="{00000000-0005-0000-0000-000025080000}"/>
    <cellStyle name="Normal 2 3 3 4 6 3" xfId="10590" xr:uid="{00000000-0005-0000-0000-000026080000}"/>
    <cellStyle name="Normal 2 3 3 4 7" xfId="3023" xr:uid="{00000000-0005-0000-0000-000027080000}"/>
    <cellStyle name="Normal 2 3 3 4 7 2" xfId="6880" xr:uid="{00000000-0005-0000-0000-000028080000}"/>
    <cellStyle name="Normal 2 3 3 4 7 3" xfId="11796" xr:uid="{00000000-0005-0000-0000-000029080000}"/>
    <cellStyle name="Normal 2 3 3 4 8" xfId="4432" xr:uid="{00000000-0005-0000-0000-00002A080000}"/>
    <cellStyle name="Normal 2 3 3 4 8 2" xfId="9348" xr:uid="{00000000-0005-0000-0000-00002B080000}"/>
    <cellStyle name="Normal 2 3 3 4 9" xfId="8105" xr:uid="{00000000-0005-0000-0000-00002C080000}"/>
    <cellStyle name="Normal 2 3 3 5" xfId="686" xr:uid="{00000000-0005-0000-0000-00002D080000}"/>
    <cellStyle name="Normal 2 3 3 5 2" xfId="1036" xr:uid="{00000000-0005-0000-0000-00002E080000}"/>
    <cellStyle name="Normal 2 3 3 5 2 2" xfId="1650" xr:uid="{00000000-0005-0000-0000-00002F080000}"/>
    <cellStyle name="Normal 2 3 3 5 2 2 2" xfId="2876" xr:uid="{00000000-0005-0000-0000-000030080000}"/>
    <cellStyle name="Normal 2 3 3 5 2 2 2 2" xfId="6736" xr:uid="{00000000-0005-0000-0000-000031080000}"/>
    <cellStyle name="Normal 2 3 3 5 2 2 2 3" xfId="11688" xr:uid="{00000000-0005-0000-0000-000032080000}"/>
    <cellStyle name="Normal 2 3 3 5 2 2 3" xfId="4104" xr:uid="{00000000-0005-0000-0000-000033080000}"/>
    <cellStyle name="Normal 2 3 3 5 2 2 3 2" xfId="7960" xr:uid="{00000000-0005-0000-0000-000034080000}"/>
    <cellStyle name="Normal 2 3 3 5 2 2 3 3" xfId="10446" xr:uid="{00000000-0005-0000-0000-000035080000}"/>
    <cellStyle name="Normal 2 3 3 5 2 2 4" xfId="5512" xr:uid="{00000000-0005-0000-0000-000036080000}"/>
    <cellStyle name="Normal 2 3 3 5 2 2 5" xfId="9204" xr:uid="{00000000-0005-0000-0000-000037080000}"/>
    <cellStyle name="Normal 2 3 3 5 2 3" xfId="2264" xr:uid="{00000000-0005-0000-0000-000038080000}"/>
    <cellStyle name="Normal 2 3 3 5 2 3 2" xfId="6124" xr:uid="{00000000-0005-0000-0000-000039080000}"/>
    <cellStyle name="Normal 2 3 3 5 2 3 3" xfId="11040" xr:uid="{00000000-0005-0000-0000-00003A080000}"/>
    <cellStyle name="Normal 2 3 3 5 2 4" xfId="3492" xr:uid="{00000000-0005-0000-0000-00003B080000}"/>
    <cellStyle name="Normal 2 3 3 5 2 4 2" xfId="7348" xr:uid="{00000000-0005-0000-0000-00003C080000}"/>
    <cellStyle name="Normal 2 3 3 5 2 4 3" xfId="9798" xr:uid="{00000000-0005-0000-0000-00003D080000}"/>
    <cellStyle name="Normal 2 3 3 5 2 5" xfId="4900" xr:uid="{00000000-0005-0000-0000-00003E080000}"/>
    <cellStyle name="Normal 2 3 3 5 2 6" xfId="8555" xr:uid="{00000000-0005-0000-0000-00003F080000}"/>
    <cellStyle name="Normal 2 3 3 5 3" xfId="1344" xr:uid="{00000000-0005-0000-0000-000040080000}"/>
    <cellStyle name="Normal 2 3 3 5 3 2" xfId="2570" xr:uid="{00000000-0005-0000-0000-000041080000}"/>
    <cellStyle name="Normal 2 3 3 5 3 2 2" xfId="6430" xr:uid="{00000000-0005-0000-0000-000042080000}"/>
    <cellStyle name="Normal 2 3 3 5 3 2 3" xfId="11382" xr:uid="{00000000-0005-0000-0000-000043080000}"/>
    <cellStyle name="Normal 2 3 3 5 3 3" xfId="3798" xr:uid="{00000000-0005-0000-0000-000044080000}"/>
    <cellStyle name="Normal 2 3 3 5 3 3 2" xfId="7654" xr:uid="{00000000-0005-0000-0000-000045080000}"/>
    <cellStyle name="Normal 2 3 3 5 3 3 3" xfId="10140" xr:uid="{00000000-0005-0000-0000-000046080000}"/>
    <cellStyle name="Normal 2 3 3 5 3 4" xfId="5206" xr:uid="{00000000-0005-0000-0000-000047080000}"/>
    <cellStyle name="Normal 2 3 3 5 3 5" xfId="8898" xr:uid="{00000000-0005-0000-0000-000048080000}"/>
    <cellStyle name="Normal 2 3 3 5 4" xfId="1958" xr:uid="{00000000-0005-0000-0000-000049080000}"/>
    <cellStyle name="Normal 2 3 3 5 4 2" xfId="5818" xr:uid="{00000000-0005-0000-0000-00004A080000}"/>
    <cellStyle name="Normal 2 3 3 5 4 3" xfId="10752" xr:uid="{00000000-0005-0000-0000-00004B080000}"/>
    <cellStyle name="Normal 2 3 3 5 5" xfId="3185" xr:uid="{00000000-0005-0000-0000-00004C080000}"/>
    <cellStyle name="Normal 2 3 3 5 5 2" xfId="7042" xr:uid="{00000000-0005-0000-0000-00004D080000}"/>
    <cellStyle name="Normal 2 3 3 5 5 3" xfId="11958" xr:uid="{00000000-0005-0000-0000-00004E080000}"/>
    <cellStyle name="Normal 2 3 3 5 6" xfId="4594" xr:uid="{00000000-0005-0000-0000-00004F080000}"/>
    <cellStyle name="Normal 2 3 3 5 6 2" xfId="9510" xr:uid="{00000000-0005-0000-0000-000050080000}"/>
    <cellStyle name="Normal 2 3 3 5 7" xfId="8267" xr:uid="{00000000-0005-0000-0000-000051080000}"/>
    <cellStyle name="Normal 2 3 3 6" xfId="596" xr:uid="{00000000-0005-0000-0000-000052080000}"/>
    <cellStyle name="Normal 2 3 3 6 2" xfId="946" xr:uid="{00000000-0005-0000-0000-000053080000}"/>
    <cellStyle name="Normal 2 3 3 6 2 2" xfId="1560" xr:uid="{00000000-0005-0000-0000-000054080000}"/>
    <cellStyle name="Normal 2 3 3 6 2 2 2" xfId="2786" xr:uid="{00000000-0005-0000-0000-000055080000}"/>
    <cellStyle name="Normal 2 3 3 6 2 2 2 2" xfId="6646" xr:uid="{00000000-0005-0000-0000-000056080000}"/>
    <cellStyle name="Normal 2 3 3 6 2 2 2 3" xfId="11598" xr:uid="{00000000-0005-0000-0000-000057080000}"/>
    <cellStyle name="Normal 2 3 3 6 2 2 3" xfId="4014" xr:uid="{00000000-0005-0000-0000-000058080000}"/>
    <cellStyle name="Normal 2 3 3 6 2 2 3 2" xfId="7870" xr:uid="{00000000-0005-0000-0000-000059080000}"/>
    <cellStyle name="Normal 2 3 3 6 2 2 3 3" xfId="10356" xr:uid="{00000000-0005-0000-0000-00005A080000}"/>
    <cellStyle name="Normal 2 3 3 6 2 2 4" xfId="5422" xr:uid="{00000000-0005-0000-0000-00005B080000}"/>
    <cellStyle name="Normal 2 3 3 6 2 2 5" xfId="9114" xr:uid="{00000000-0005-0000-0000-00005C080000}"/>
    <cellStyle name="Normal 2 3 3 6 2 3" xfId="2174" xr:uid="{00000000-0005-0000-0000-00005D080000}"/>
    <cellStyle name="Normal 2 3 3 6 2 3 2" xfId="6034" xr:uid="{00000000-0005-0000-0000-00005E080000}"/>
    <cellStyle name="Normal 2 3 3 6 2 3 3" xfId="10950" xr:uid="{00000000-0005-0000-0000-00005F080000}"/>
    <cellStyle name="Normal 2 3 3 6 2 4" xfId="3402" xr:uid="{00000000-0005-0000-0000-000060080000}"/>
    <cellStyle name="Normal 2 3 3 6 2 4 2" xfId="7258" xr:uid="{00000000-0005-0000-0000-000061080000}"/>
    <cellStyle name="Normal 2 3 3 6 2 4 3" xfId="9708" xr:uid="{00000000-0005-0000-0000-000062080000}"/>
    <cellStyle name="Normal 2 3 3 6 2 5" xfId="4810" xr:uid="{00000000-0005-0000-0000-000063080000}"/>
    <cellStyle name="Normal 2 3 3 6 2 6" xfId="8465" xr:uid="{00000000-0005-0000-0000-000064080000}"/>
    <cellStyle name="Normal 2 3 3 6 3" xfId="1254" xr:uid="{00000000-0005-0000-0000-000065080000}"/>
    <cellStyle name="Normal 2 3 3 6 3 2" xfId="2480" xr:uid="{00000000-0005-0000-0000-000066080000}"/>
    <cellStyle name="Normal 2 3 3 6 3 2 2" xfId="6340" xr:uid="{00000000-0005-0000-0000-000067080000}"/>
    <cellStyle name="Normal 2 3 3 6 3 2 3" xfId="11292" xr:uid="{00000000-0005-0000-0000-000068080000}"/>
    <cellStyle name="Normal 2 3 3 6 3 3" xfId="3708" xr:uid="{00000000-0005-0000-0000-000069080000}"/>
    <cellStyle name="Normal 2 3 3 6 3 3 2" xfId="7564" xr:uid="{00000000-0005-0000-0000-00006A080000}"/>
    <cellStyle name="Normal 2 3 3 6 3 3 3" xfId="10050" xr:uid="{00000000-0005-0000-0000-00006B080000}"/>
    <cellStyle name="Normal 2 3 3 6 3 4" xfId="5116" xr:uid="{00000000-0005-0000-0000-00006C080000}"/>
    <cellStyle name="Normal 2 3 3 6 3 5" xfId="8808" xr:uid="{00000000-0005-0000-0000-00006D080000}"/>
    <cellStyle name="Normal 2 3 3 6 4" xfId="1868" xr:uid="{00000000-0005-0000-0000-00006E080000}"/>
    <cellStyle name="Normal 2 3 3 6 4 2" xfId="5728" xr:uid="{00000000-0005-0000-0000-00006F080000}"/>
    <cellStyle name="Normal 2 3 3 6 4 3" xfId="10662" xr:uid="{00000000-0005-0000-0000-000070080000}"/>
    <cellStyle name="Normal 2 3 3 6 5" xfId="3095" xr:uid="{00000000-0005-0000-0000-000071080000}"/>
    <cellStyle name="Normal 2 3 3 6 5 2" xfId="6952" xr:uid="{00000000-0005-0000-0000-000072080000}"/>
    <cellStyle name="Normal 2 3 3 6 5 3" xfId="11868" xr:uid="{00000000-0005-0000-0000-000073080000}"/>
    <cellStyle name="Normal 2 3 3 6 6" xfId="4504" xr:uid="{00000000-0005-0000-0000-000074080000}"/>
    <cellStyle name="Normal 2 3 3 6 6 2" xfId="9420" xr:uid="{00000000-0005-0000-0000-000075080000}"/>
    <cellStyle name="Normal 2 3 3 6 7" xfId="8177" xr:uid="{00000000-0005-0000-0000-000076080000}"/>
    <cellStyle name="Normal 2 3 3 7" xfId="482" xr:uid="{00000000-0005-0000-0000-000077080000}"/>
    <cellStyle name="Normal 2 3 3 7 2" xfId="832" xr:uid="{00000000-0005-0000-0000-000078080000}"/>
    <cellStyle name="Normal 2 3 3 7 2 2" xfId="1470" xr:uid="{00000000-0005-0000-0000-000079080000}"/>
    <cellStyle name="Normal 2 3 3 7 2 2 2" xfId="2696" xr:uid="{00000000-0005-0000-0000-00007A080000}"/>
    <cellStyle name="Normal 2 3 3 7 2 2 2 2" xfId="6556" xr:uid="{00000000-0005-0000-0000-00007B080000}"/>
    <cellStyle name="Normal 2 3 3 7 2 2 2 3" xfId="11508" xr:uid="{00000000-0005-0000-0000-00007C080000}"/>
    <cellStyle name="Normal 2 3 3 7 2 2 3" xfId="3924" xr:uid="{00000000-0005-0000-0000-00007D080000}"/>
    <cellStyle name="Normal 2 3 3 7 2 2 3 2" xfId="7780" xr:uid="{00000000-0005-0000-0000-00007E080000}"/>
    <cellStyle name="Normal 2 3 3 7 2 2 3 3" xfId="10266" xr:uid="{00000000-0005-0000-0000-00007F080000}"/>
    <cellStyle name="Normal 2 3 3 7 2 2 4" xfId="5332" xr:uid="{00000000-0005-0000-0000-000080080000}"/>
    <cellStyle name="Normal 2 3 3 7 2 2 5" xfId="9024" xr:uid="{00000000-0005-0000-0000-000081080000}"/>
    <cellStyle name="Normal 2 3 3 7 2 3" xfId="2084" xr:uid="{00000000-0005-0000-0000-000082080000}"/>
    <cellStyle name="Normal 2 3 3 7 2 3 2" xfId="5944" xr:uid="{00000000-0005-0000-0000-000083080000}"/>
    <cellStyle name="Normal 2 3 3 7 2 3 3" xfId="10860" xr:uid="{00000000-0005-0000-0000-000084080000}"/>
    <cellStyle name="Normal 2 3 3 7 2 4" xfId="3312" xr:uid="{00000000-0005-0000-0000-000085080000}"/>
    <cellStyle name="Normal 2 3 3 7 2 4 2" xfId="7168" xr:uid="{00000000-0005-0000-0000-000086080000}"/>
    <cellStyle name="Normal 2 3 3 7 2 4 3" xfId="9618" xr:uid="{00000000-0005-0000-0000-000087080000}"/>
    <cellStyle name="Normal 2 3 3 7 2 5" xfId="4720" xr:uid="{00000000-0005-0000-0000-000088080000}"/>
    <cellStyle name="Normal 2 3 3 7 2 6" xfId="8375" xr:uid="{00000000-0005-0000-0000-000089080000}"/>
    <cellStyle name="Normal 2 3 3 7 3" xfId="1164" xr:uid="{00000000-0005-0000-0000-00008A080000}"/>
    <cellStyle name="Normal 2 3 3 7 3 2" xfId="2390" xr:uid="{00000000-0005-0000-0000-00008B080000}"/>
    <cellStyle name="Normal 2 3 3 7 3 2 2" xfId="6250" xr:uid="{00000000-0005-0000-0000-00008C080000}"/>
    <cellStyle name="Normal 2 3 3 7 3 2 3" xfId="11202" xr:uid="{00000000-0005-0000-0000-00008D080000}"/>
    <cellStyle name="Normal 2 3 3 7 3 3" xfId="3618" xr:uid="{00000000-0005-0000-0000-00008E080000}"/>
    <cellStyle name="Normal 2 3 3 7 3 3 2" xfId="7474" xr:uid="{00000000-0005-0000-0000-00008F080000}"/>
    <cellStyle name="Normal 2 3 3 7 3 3 3" xfId="9960" xr:uid="{00000000-0005-0000-0000-000090080000}"/>
    <cellStyle name="Normal 2 3 3 7 3 4" xfId="5026" xr:uid="{00000000-0005-0000-0000-000091080000}"/>
    <cellStyle name="Normal 2 3 3 7 3 5" xfId="8718" xr:uid="{00000000-0005-0000-0000-000092080000}"/>
    <cellStyle name="Normal 2 3 3 7 4" xfId="1778" xr:uid="{00000000-0005-0000-0000-000093080000}"/>
    <cellStyle name="Normal 2 3 3 7 4 2" xfId="5638" xr:uid="{00000000-0005-0000-0000-000094080000}"/>
    <cellStyle name="Normal 2 3 3 7 4 3" xfId="10572" xr:uid="{00000000-0005-0000-0000-000095080000}"/>
    <cellStyle name="Normal 2 3 3 7 5" xfId="3005" xr:uid="{00000000-0005-0000-0000-000096080000}"/>
    <cellStyle name="Normal 2 3 3 7 5 2" xfId="6862" xr:uid="{00000000-0005-0000-0000-000097080000}"/>
    <cellStyle name="Normal 2 3 3 7 5 3" xfId="12048" xr:uid="{00000000-0005-0000-0000-000098080000}"/>
    <cellStyle name="Normal 2 3 3 7 6" xfId="4414" xr:uid="{00000000-0005-0000-0000-000099080000}"/>
    <cellStyle name="Normal 2 3 3 7 6 2" xfId="9330" xr:uid="{00000000-0005-0000-0000-00009A080000}"/>
    <cellStyle name="Normal 2 3 3 7 7" xfId="8087" xr:uid="{00000000-0005-0000-0000-00009B080000}"/>
    <cellStyle name="Normal 2 3 3 8" xfId="794" xr:uid="{00000000-0005-0000-0000-00009C080000}"/>
    <cellStyle name="Normal 2 3 3 8 2" xfId="1434" xr:uid="{00000000-0005-0000-0000-00009D080000}"/>
    <cellStyle name="Normal 2 3 3 8 2 2" xfId="2660" xr:uid="{00000000-0005-0000-0000-00009E080000}"/>
    <cellStyle name="Normal 2 3 3 8 2 2 2" xfId="6520" xr:uid="{00000000-0005-0000-0000-00009F080000}"/>
    <cellStyle name="Normal 2 3 3 8 2 2 3" xfId="11472" xr:uid="{00000000-0005-0000-0000-0000A0080000}"/>
    <cellStyle name="Normal 2 3 3 8 2 3" xfId="3888" xr:uid="{00000000-0005-0000-0000-0000A1080000}"/>
    <cellStyle name="Normal 2 3 3 8 2 3 2" xfId="7744" xr:uid="{00000000-0005-0000-0000-0000A2080000}"/>
    <cellStyle name="Normal 2 3 3 8 2 3 3" xfId="10230" xr:uid="{00000000-0005-0000-0000-0000A3080000}"/>
    <cellStyle name="Normal 2 3 3 8 2 4" xfId="5296" xr:uid="{00000000-0005-0000-0000-0000A4080000}"/>
    <cellStyle name="Normal 2 3 3 8 2 5" xfId="8988" xr:uid="{00000000-0005-0000-0000-0000A5080000}"/>
    <cellStyle name="Normal 2 3 3 8 3" xfId="2048" xr:uid="{00000000-0005-0000-0000-0000A6080000}"/>
    <cellStyle name="Normal 2 3 3 8 3 2" xfId="5908" xr:uid="{00000000-0005-0000-0000-0000A7080000}"/>
    <cellStyle name="Normal 2 3 3 8 3 3" xfId="10842" xr:uid="{00000000-0005-0000-0000-0000A8080000}"/>
    <cellStyle name="Normal 2 3 3 8 4" xfId="3276" xr:uid="{00000000-0005-0000-0000-0000A9080000}"/>
    <cellStyle name="Normal 2 3 3 8 4 2" xfId="7132" xr:uid="{00000000-0005-0000-0000-0000AA080000}"/>
    <cellStyle name="Normal 2 3 3 8 4 3" xfId="9600" xr:uid="{00000000-0005-0000-0000-0000AB080000}"/>
    <cellStyle name="Normal 2 3 3 8 5" xfId="4684" xr:uid="{00000000-0005-0000-0000-0000AC080000}"/>
    <cellStyle name="Normal 2 3 3 8 6" xfId="8357" xr:uid="{00000000-0005-0000-0000-0000AD080000}"/>
    <cellStyle name="Normal 2 3 3 9" xfId="1128" xr:uid="{00000000-0005-0000-0000-0000AE080000}"/>
    <cellStyle name="Normal 2 3 3 9 2" xfId="2354" xr:uid="{00000000-0005-0000-0000-0000AF080000}"/>
    <cellStyle name="Normal 2 3 3 9 2 2" xfId="6214" xr:uid="{00000000-0005-0000-0000-0000B0080000}"/>
    <cellStyle name="Normal 2 3 3 9 2 3" xfId="11166" xr:uid="{00000000-0005-0000-0000-0000B1080000}"/>
    <cellStyle name="Normal 2 3 3 9 3" xfId="3582" xr:uid="{00000000-0005-0000-0000-0000B2080000}"/>
    <cellStyle name="Normal 2 3 3 9 3 2" xfId="7438" xr:uid="{00000000-0005-0000-0000-0000B3080000}"/>
    <cellStyle name="Normal 2 3 3 9 3 3" xfId="9924" xr:uid="{00000000-0005-0000-0000-0000B4080000}"/>
    <cellStyle name="Normal 2 3 3 9 4" xfId="4990" xr:uid="{00000000-0005-0000-0000-0000B5080000}"/>
    <cellStyle name="Normal 2 3 3 9 5" xfId="8682" xr:uid="{00000000-0005-0000-0000-0000B6080000}"/>
    <cellStyle name="Normal 2 3 4" xfId="461" xr:uid="{00000000-0005-0000-0000-0000B7080000}"/>
    <cellStyle name="Normal 2 3 4 10" xfId="4393" xr:uid="{00000000-0005-0000-0000-0000B8080000}"/>
    <cellStyle name="Normal 2 3 4 10 2" xfId="9309" xr:uid="{00000000-0005-0000-0000-0000B9080000}"/>
    <cellStyle name="Normal 2 3 4 11" xfId="8066" xr:uid="{00000000-0005-0000-0000-0000BA080000}"/>
    <cellStyle name="Normal 2 3 4 2" xfId="574" xr:uid="{00000000-0005-0000-0000-0000BB080000}"/>
    <cellStyle name="Normal 2 3 4 2 2" xfId="755" xr:uid="{00000000-0005-0000-0000-0000BC080000}"/>
    <cellStyle name="Normal 2 3 4 2 2 2" xfId="1105" xr:uid="{00000000-0005-0000-0000-0000BD080000}"/>
    <cellStyle name="Normal 2 3 4 2 2 2 2" xfId="1719" xr:uid="{00000000-0005-0000-0000-0000BE080000}"/>
    <cellStyle name="Normal 2 3 4 2 2 2 2 2" xfId="2945" xr:uid="{00000000-0005-0000-0000-0000BF080000}"/>
    <cellStyle name="Normal 2 3 4 2 2 2 2 2 2" xfId="6805" xr:uid="{00000000-0005-0000-0000-0000C0080000}"/>
    <cellStyle name="Normal 2 3 4 2 2 2 2 2 3" xfId="11757" xr:uid="{00000000-0005-0000-0000-0000C1080000}"/>
    <cellStyle name="Normal 2 3 4 2 2 2 2 3" xfId="4173" xr:uid="{00000000-0005-0000-0000-0000C2080000}"/>
    <cellStyle name="Normal 2 3 4 2 2 2 2 3 2" xfId="8029" xr:uid="{00000000-0005-0000-0000-0000C3080000}"/>
    <cellStyle name="Normal 2 3 4 2 2 2 2 3 3" xfId="10515" xr:uid="{00000000-0005-0000-0000-0000C4080000}"/>
    <cellStyle name="Normal 2 3 4 2 2 2 2 4" xfId="5581" xr:uid="{00000000-0005-0000-0000-0000C5080000}"/>
    <cellStyle name="Normal 2 3 4 2 2 2 2 5" xfId="9273" xr:uid="{00000000-0005-0000-0000-0000C6080000}"/>
    <cellStyle name="Normal 2 3 4 2 2 2 3" xfId="2333" xr:uid="{00000000-0005-0000-0000-0000C7080000}"/>
    <cellStyle name="Normal 2 3 4 2 2 2 3 2" xfId="6193" xr:uid="{00000000-0005-0000-0000-0000C8080000}"/>
    <cellStyle name="Normal 2 3 4 2 2 2 3 3" xfId="11109" xr:uid="{00000000-0005-0000-0000-0000C9080000}"/>
    <cellStyle name="Normal 2 3 4 2 2 2 4" xfId="3561" xr:uid="{00000000-0005-0000-0000-0000CA080000}"/>
    <cellStyle name="Normal 2 3 4 2 2 2 4 2" xfId="7417" xr:uid="{00000000-0005-0000-0000-0000CB080000}"/>
    <cellStyle name="Normal 2 3 4 2 2 2 4 3" xfId="9867" xr:uid="{00000000-0005-0000-0000-0000CC080000}"/>
    <cellStyle name="Normal 2 3 4 2 2 2 5" xfId="4969" xr:uid="{00000000-0005-0000-0000-0000CD080000}"/>
    <cellStyle name="Normal 2 3 4 2 2 2 6" xfId="8624" xr:uid="{00000000-0005-0000-0000-0000CE080000}"/>
    <cellStyle name="Normal 2 3 4 2 2 3" xfId="1413" xr:uid="{00000000-0005-0000-0000-0000CF080000}"/>
    <cellStyle name="Normal 2 3 4 2 2 3 2" xfId="2639" xr:uid="{00000000-0005-0000-0000-0000D0080000}"/>
    <cellStyle name="Normal 2 3 4 2 2 3 2 2" xfId="6499" xr:uid="{00000000-0005-0000-0000-0000D1080000}"/>
    <cellStyle name="Normal 2 3 4 2 2 3 2 3" xfId="11451" xr:uid="{00000000-0005-0000-0000-0000D2080000}"/>
    <cellStyle name="Normal 2 3 4 2 2 3 3" xfId="3867" xr:uid="{00000000-0005-0000-0000-0000D3080000}"/>
    <cellStyle name="Normal 2 3 4 2 2 3 3 2" xfId="7723" xr:uid="{00000000-0005-0000-0000-0000D4080000}"/>
    <cellStyle name="Normal 2 3 4 2 2 3 3 3" xfId="10209" xr:uid="{00000000-0005-0000-0000-0000D5080000}"/>
    <cellStyle name="Normal 2 3 4 2 2 3 4" xfId="5275" xr:uid="{00000000-0005-0000-0000-0000D6080000}"/>
    <cellStyle name="Normal 2 3 4 2 2 3 5" xfId="8967" xr:uid="{00000000-0005-0000-0000-0000D7080000}"/>
    <cellStyle name="Normal 2 3 4 2 2 4" xfId="2027" xr:uid="{00000000-0005-0000-0000-0000D8080000}"/>
    <cellStyle name="Normal 2 3 4 2 2 4 2" xfId="5887" xr:uid="{00000000-0005-0000-0000-0000D9080000}"/>
    <cellStyle name="Normal 2 3 4 2 2 4 3" xfId="10821" xr:uid="{00000000-0005-0000-0000-0000DA080000}"/>
    <cellStyle name="Normal 2 3 4 2 2 5" xfId="3254" xr:uid="{00000000-0005-0000-0000-0000DB080000}"/>
    <cellStyle name="Normal 2 3 4 2 2 5 2" xfId="7111" xr:uid="{00000000-0005-0000-0000-0000DC080000}"/>
    <cellStyle name="Normal 2 3 4 2 2 5 3" xfId="12027" xr:uid="{00000000-0005-0000-0000-0000DD080000}"/>
    <cellStyle name="Normal 2 3 4 2 2 6" xfId="4663" xr:uid="{00000000-0005-0000-0000-0000DE080000}"/>
    <cellStyle name="Normal 2 3 4 2 2 6 2" xfId="9579" xr:uid="{00000000-0005-0000-0000-0000DF080000}"/>
    <cellStyle name="Normal 2 3 4 2 2 7" xfId="8336" xr:uid="{00000000-0005-0000-0000-0000E0080000}"/>
    <cellStyle name="Normal 2 3 4 2 3" xfId="665" xr:uid="{00000000-0005-0000-0000-0000E1080000}"/>
    <cellStyle name="Normal 2 3 4 2 3 2" xfId="1015" xr:uid="{00000000-0005-0000-0000-0000E2080000}"/>
    <cellStyle name="Normal 2 3 4 2 3 2 2" xfId="1629" xr:uid="{00000000-0005-0000-0000-0000E3080000}"/>
    <cellStyle name="Normal 2 3 4 2 3 2 2 2" xfId="2855" xr:uid="{00000000-0005-0000-0000-0000E4080000}"/>
    <cellStyle name="Normal 2 3 4 2 3 2 2 2 2" xfId="6715" xr:uid="{00000000-0005-0000-0000-0000E5080000}"/>
    <cellStyle name="Normal 2 3 4 2 3 2 2 2 3" xfId="11667" xr:uid="{00000000-0005-0000-0000-0000E6080000}"/>
    <cellStyle name="Normal 2 3 4 2 3 2 2 3" xfId="4083" xr:uid="{00000000-0005-0000-0000-0000E7080000}"/>
    <cellStyle name="Normal 2 3 4 2 3 2 2 3 2" xfId="7939" xr:uid="{00000000-0005-0000-0000-0000E8080000}"/>
    <cellStyle name="Normal 2 3 4 2 3 2 2 3 3" xfId="10425" xr:uid="{00000000-0005-0000-0000-0000E9080000}"/>
    <cellStyle name="Normal 2 3 4 2 3 2 2 4" xfId="5491" xr:uid="{00000000-0005-0000-0000-0000EA080000}"/>
    <cellStyle name="Normal 2 3 4 2 3 2 2 5" xfId="9183" xr:uid="{00000000-0005-0000-0000-0000EB080000}"/>
    <cellStyle name="Normal 2 3 4 2 3 2 3" xfId="2243" xr:uid="{00000000-0005-0000-0000-0000EC080000}"/>
    <cellStyle name="Normal 2 3 4 2 3 2 3 2" xfId="6103" xr:uid="{00000000-0005-0000-0000-0000ED080000}"/>
    <cellStyle name="Normal 2 3 4 2 3 2 3 3" xfId="11019" xr:uid="{00000000-0005-0000-0000-0000EE080000}"/>
    <cellStyle name="Normal 2 3 4 2 3 2 4" xfId="3471" xr:uid="{00000000-0005-0000-0000-0000EF080000}"/>
    <cellStyle name="Normal 2 3 4 2 3 2 4 2" xfId="7327" xr:uid="{00000000-0005-0000-0000-0000F0080000}"/>
    <cellStyle name="Normal 2 3 4 2 3 2 4 3" xfId="9777" xr:uid="{00000000-0005-0000-0000-0000F1080000}"/>
    <cellStyle name="Normal 2 3 4 2 3 2 5" xfId="4879" xr:uid="{00000000-0005-0000-0000-0000F2080000}"/>
    <cellStyle name="Normal 2 3 4 2 3 2 6" xfId="8534" xr:uid="{00000000-0005-0000-0000-0000F3080000}"/>
    <cellStyle name="Normal 2 3 4 2 3 3" xfId="1323" xr:uid="{00000000-0005-0000-0000-0000F4080000}"/>
    <cellStyle name="Normal 2 3 4 2 3 3 2" xfId="2549" xr:uid="{00000000-0005-0000-0000-0000F5080000}"/>
    <cellStyle name="Normal 2 3 4 2 3 3 2 2" xfId="6409" xr:uid="{00000000-0005-0000-0000-0000F6080000}"/>
    <cellStyle name="Normal 2 3 4 2 3 3 2 3" xfId="11361" xr:uid="{00000000-0005-0000-0000-0000F7080000}"/>
    <cellStyle name="Normal 2 3 4 2 3 3 3" xfId="3777" xr:uid="{00000000-0005-0000-0000-0000F8080000}"/>
    <cellStyle name="Normal 2 3 4 2 3 3 3 2" xfId="7633" xr:uid="{00000000-0005-0000-0000-0000F9080000}"/>
    <cellStyle name="Normal 2 3 4 2 3 3 3 3" xfId="10119" xr:uid="{00000000-0005-0000-0000-0000FA080000}"/>
    <cellStyle name="Normal 2 3 4 2 3 3 4" xfId="5185" xr:uid="{00000000-0005-0000-0000-0000FB080000}"/>
    <cellStyle name="Normal 2 3 4 2 3 3 5" xfId="8877" xr:uid="{00000000-0005-0000-0000-0000FC080000}"/>
    <cellStyle name="Normal 2 3 4 2 3 4" xfId="1937" xr:uid="{00000000-0005-0000-0000-0000FD080000}"/>
    <cellStyle name="Normal 2 3 4 2 3 4 2" xfId="5797" xr:uid="{00000000-0005-0000-0000-0000FE080000}"/>
    <cellStyle name="Normal 2 3 4 2 3 4 3" xfId="10731" xr:uid="{00000000-0005-0000-0000-0000FF080000}"/>
    <cellStyle name="Normal 2 3 4 2 3 5" xfId="3164" xr:uid="{00000000-0005-0000-0000-000000090000}"/>
    <cellStyle name="Normal 2 3 4 2 3 5 2" xfId="7021" xr:uid="{00000000-0005-0000-0000-000001090000}"/>
    <cellStyle name="Normal 2 3 4 2 3 5 3" xfId="11937" xr:uid="{00000000-0005-0000-0000-000002090000}"/>
    <cellStyle name="Normal 2 3 4 2 3 6" xfId="4573" xr:uid="{00000000-0005-0000-0000-000003090000}"/>
    <cellStyle name="Normal 2 3 4 2 3 6 2" xfId="9489" xr:uid="{00000000-0005-0000-0000-000004090000}"/>
    <cellStyle name="Normal 2 3 4 2 3 7" xfId="8246" xr:uid="{00000000-0005-0000-0000-000005090000}"/>
    <cellStyle name="Normal 2 3 4 2 4" xfId="924" xr:uid="{00000000-0005-0000-0000-000006090000}"/>
    <cellStyle name="Normal 2 3 4 2 4 2" xfId="1539" xr:uid="{00000000-0005-0000-0000-000007090000}"/>
    <cellStyle name="Normal 2 3 4 2 4 2 2" xfId="2765" xr:uid="{00000000-0005-0000-0000-000008090000}"/>
    <cellStyle name="Normal 2 3 4 2 4 2 2 2" xfId="6625" xr:uid="{00000000-0005-0000-0000-000009090000}"/>
    <cellStyle name="Normal 2 3 4 2 4 2 2 3" xfId="11577" xr:uid="{00000000-0005-0000-0000-00000A090000}"/>
    <cellStyle name="Normal 2 3 4 2 4 2 3" xfId="3993" xr:uid="{00000000-0005-0000-0000-00000B090000}"/>
    <cellStyle name="Normal 2 3 4 2 4 2 3 2" xfId="7849" xr:uid="{00000000-0005-0000-0000-00000C090000}"/>
    <cellStyle name="Normal 2 3 4 2 4 2 3 3" xfId="10335" xr:uid="{00000000-0005-0000-0000-00000D090000}"/>
    <cellStyle name="Normal 2 3 4 2 4 2 4" xfId="5401" xr:uid="{00000000-0005-0000-0000-00000E090000}"/>
    <cellStyle name="Normal 2 3 4 2 4 2 5" xfId="9093" xr:uid="{00000000-0005-0000-0000-00000F090000}"/>
    <cellStyle name="Normal 2 3 4 2 4 3" xfId="2153" xr:uid="{00000000-0005-0000-0000-000010090000}"/>
    <cellStyle name="Normal 2 3 4 2 4 3 2" xfId="6013" xr:uid="{00000000-0005-0000-0000-000011090000}"/>
    <cellStyle name="Normal 2 3 4 2 4 3 3" xfId="10929" xr:uid="{00000000-0005-0000-0000-000012090000}"/>
    <cellStyle name="Normal 2 3 4 2 4 4" xfId="3381" xr:uid="{00000000-0005-0000-0000-000013090000}"/>
    <cellStyle name="Normal 2 3 4 2 4 4 2" xfId="7237" xr:uid="{00000000-0005-0000-0000-000014090000}"/>
    <cellStyle name="Normal 2 3 4 2 4 4 3" xfId="9687" xr:uid="{00000000-0005-0000-0000-000015090000}"/>
    <cellStyle name="Normal 2 3 4 2 4 5" xfId="4789" xr:uid="{00000000-0005-0000-0000-000016090000}"/>
    <cellStyle name="Normal 2 3 4 2 4 6" xfId="8444" xr:uid="{00000000-0005-0000-0000-000017090000}"/>
    <cellStyle name="Normal 2 3 4 2 5" xfId="1233" xr:uid="{00000000-0005-0000-0000-000018090000}"/>
    <cellStyle name="Normal 2 3 4 2 5 2" xfId="2459" xr:uid="{00000000-0005-0000-0000-000019090000}"/>
    <cellStyle name="Normal 2 3 4 2 5 2 2" xfId="6319" xr:uid="{00000000-0005-0000-0000-00001A090000}"/>
    <cellStyle name="Normal 2 3 4 2 5 2 3" xfId="11271" xr:uid="{00000000-0005-0000-0000-00001B090000}"/>
    <cellStyle name="Normal 2 3 4 2 5 3" xfId="3687" xr:uid="{00000000-0005-0000-0000-00001C090000}"/>
    <cellStyle name="Normal 2 3 4 2 5 3 2" xfId="7543" xr:uid="{00000000-0005-0000-0000-00001D090000}"/>
    <cellStyle name="Normal 2 3 4 2 5 3 3" xfId="10029" xr:uid="{00000000-0005-0000-0000-00001E090000}"/>
    <cellStyle name="Normal 2 3 4 2 5 4" xfId="5095" xr:uid="{00000000-0005-0000-0000-00001F090000}"/>
    <cellStyle name="Normal 2 3 4 2 5 5" xfId="8787" xr:uid="{00000000-0005-0000-0000-000020090000}"/>
    <cellStyle name="Normal 2 3 4 2 6" xfId="1847" xr:uid="{00000000-0005-0000-0000-000021090000}"/>
    <cellStyle name="Normal 2 3 4 2 6 2" xfId="5707" xr:uid="{00000000-0005-0000-0000-000022090000}"/>
    <cellStyle name="Normal 2 3 4 2 6 3" xfId="10641" xr:uid="{00000000-0005-0000-0000-000023090000}"/>
    <cellStyle name="Normal 2 3 4 2 7" xfId="3074" xr:uid="{00000000-0005-0000-0000-000024090000}"/>
    <cellStyle name="Normal 2 3 4 2 7 2" xfId="6931" xr:uid="{00000000-0005-0000-0000-000025090000}"/>
    <cellStyle name="Normal 2 3 4 2 7 3" xfId="11847" xr:uid="{00000000-0005-0000-0000-000026090000}"/>
    <cellStyle name="Normal 2 3 4 2 8" xfId="4483" xr:uid="{00000000-0005-0000-0000-000027090000}"/>
    <cellStyle name="Normal 2 3 4 2 8 2" xfId="9399" xr:uid="{00000000-0005-0000-0000-000028090000}"/>
    <cellStyle name="Normal 2 3 4 2 9" xfId="8156" xr:uid="{00000000-0005-0000-0000-000029090000}"/>
    <cellStyle name="Normal 2 3 4 3" xfId="719" xr:uid="{00000000-0005-0000-0000-00002A090000}"/>
    <cellStyle name="Normal 2 3 4 3 2" xfId="1069" xr:uid="{00000000-0005-0000-0000-00002B090000}"/>
    <cellStyle name="Normal 2 3 4 3 2 2" xfId="1683" xr:uid="{00000000-0005-0000-0000-00002C090000}"/>
    <cellStyle name="Normal 2 3 4 3 2 2 2" xfId="2909" xr:uid="{00000000-0005-0000-0000-00002D090000}"/>
    <cellStyle name="Normal 2 3 4 3 2 2 2 2" xfId="6769" xr:uid="{00000000-0005-0000-0000-00002E090000}"/>
    <cellStyle name="Normal 2 3 4 3 2 2 2 3" xfId="11721" xr:uid="{00000000-0005-0000-0000-00002F090000}"/>
    <cellStyle name="Normal 2 3 4 3 2 2 3" xfId="4137" xr:uid="{00000000-0005-0000-0000-000030090000}"/>
    <cellStyle name="Normal 2 3 4 3 2 2 3 2" xfId="7993" xr:uid="{00000000-0005-0000-0000-000031090000}"/>
    <cellStyle name="Normal 2 3 4 3 2 2 3 3" xfId="10479" xr:uid="{00000000-0005-0000-0000-000032090000}"/>
    <cellStyle name="Normal 2 3 4 3 2 2 4" xfId="5545" xr:uid="{00000000-0005-0000-0000-000033090000}"/>
    <cellStyle name="Normal 2 3 4 3 2 2 5" xfId="9237" xr:uid="{00000000-0005-0000-0000-000034090000}"/>
    <cellStyle name="Normal 2 3 4 3 2 3" xfId="2297" xr:uid="{00000000-0005-0000-0000-000035090000}"/>
    <cellStyle name="Normal 2 3 4 3 2 3 2" xfId="6157" xr:uid="{00000000-0005-0000-0000-000036090000}"/>
    <cellStyle name="Normal 2 3 4 3 2 3 3" xfId="11073" xr:uid="{00000000-0005-0000-0000-000037090000}"/>
    <cellStyle name="Normal 2 3 4 3 2 4" xfId="3525" xr:uid="{00000000-0005-0000-0000-000038090000}"/>
    <cellStyle name="Normal 2 3 4 3 2 4 2" xfId="7381" xr:uid="{00000000-0005-0000-0000-000039090000}"/>
    <cellStyle name="Normal 2 3 4 3 2 4 3" xfId="9831" xr:uid="{00000000-0005-0000-0000-00003A090000}"/>
    <cellStyle name="Normal 2 3 4 3 2 5" xfId="4933" xr:uid="{00000000-0005-0000-0000-00003B090000}"/>
    <cellStyle name="Normal 2 3 4 3 2 6" xfId="8588" xr:uid="{00000000-0005-0000-0000-00003C090000}"/>
    <cellStyle name="Normal 2 3 4 3 3" xfId="1377" xr:uid="{00000000-0005-0000-0000-00003D090000}"/>
    <cellStyle name="Normal 2 3 4 3 3 2" xfId="2603" xr:uid="{00000000-0005-0000-0000-00003E090000}"/>
    <cellStyle name="Normal 2 3 4 3 3 2 2" xfId="6463" xr:uid="{00000000-0005-0000-0000-00003F090000}"/>
    <cellStyle name="Normal 2 3 4 3 3 2 3" xfId="11415" xr:uid="{00000000-0005-0000-0000-000040090000}"/>
    <cellStyle name="Normal 2 3 4 3 3 3" xfId="3831" xr:uid="{00000000-0005-0000-0000-000041090000}"/>
    <cellStyle name="Normal 2 3 4 3 3 3 2" xfId="7687" xr:uid="{00000000-0005-0000-0000-000042090000}"/>
    <cellStyle name="Normal 2 3 4 3 3 3 3" xfId="10173" xr:uid="{00000000-0005-0000-0000-000043090000}"/>
    <cellStyle name="Normal 2 3 4 3 3 4" xfId="5239" xr:uid="{00000000-0005-0000-0000-000044090000}"/>
    <cellStyle name="Normal 2 3 4 3 3 5" xfId="8931" xr:uid="{00000000-0005-0000-0000-000045090000}"/>
    <cellStyle name="Normal 2 3 4 3 4" xfId="1991" xr:uid="{00000000-0005-0000-0000-000046090000}"/>
    <cellStyle name="Normal 2 3 4 3 4 2" xfId="5851" xr:uid="{00000000-0005-0000-0000-000047090000}"/>
    <cellStyle name="Normal 2 3 4 3 4 3" xfId="10785" xr:uid="{00000000-0005-0000-0000-000048090000}"/>
    <cellStyle name="Normal 2 3 4 3 5" xfId="3218" xr:uid="{00000000-0005-0000-0000-000049090000}"/>
    <cellStyle name="Normal 2 3 4 3 5 2" xfId="7075" xr:uid="{00000000-0005-0000-0000-00004A090000}"/>
    <cellStyle name="Normal 2 3 4 3 5 3" xfId="11991" xr:uid="{00000000-0005-0000-0000-00004B090000}"/>
    <cellStyle name="Normal 2 3 4 3 6" xfId="4627" xr:uid="{00000000-0005-0000-0000-00004C090000}"/>
    <cellStyle name="Normal 2 3 4 3 6 2" xfId="9543" xr:uid="{00000000-0005-0000-0000-00004D090000}"/>
    <cellStyle name="Normal 2 3 4 3 7" xfId="8300" xr:uid="{00000000-0005-0000-0000-00004E090000}"/>
    <cellStyle name="Normal 2 3 4 4" xfId="629" xr:uid="{00000000-0005-0000-0000-00004F090000}"/>
    <cellStyle name="Normal 2 3 4 4 2" xfId="979" xr:uid="{00000000-0005-0000-0000-000050090000}"/>
    <cellStyle name="Normal 2 3 4 4 2 2" xfId="1593" xr:uid="{00000000-0005-0000-0000-000051090000}"/>
    <cellStyle name="Normal 2 3 4 4 2 2 2" xfId="2819" xr:uid="{00000000-0005-0000-0000-000052090000}"/>
    <cellStyle name="Normal 2 3 4 4 2 2 2 2" xfId="6679" xr:uid="{00000000-0005-0000-0000-000053090000}"/>
    <cellStyle name="Normal 2 3 4 4 2 2 2 3" xfId="11631" xr:uid="{00000000-0005-0000-0000-000054090000}"/>
    <cellStyle name="Normal 2 3 4 4 2 2 3" xfId="4047" xr:uid="{00000000-0005-0000-0000-000055090000}"/>
    <cellStyle name="Normal 2 3 4 4 2 2 3 2" xfId="7903" xr:uid="{00000000-0005-0000-0000-000056090000}"/>
    <cellStyle name="Normal 2 3 4 4 2 2 3 3" xfId="10389" xr:uid="{00000000-0005-0000-0000-000057090000}"/>
    <cellStyle name="Normal 2 3 4 4 2 2 4" xfId="5455" xr:uid="{00000000-0005-0000-0000-000058090000}"/>
    <cellStyle name="Normal 2 3 4 4 2 2 5" xfId="9147" xr:uid="{00000000-0005-0000-0000-000059090000}"/>
    <cellStyle name="Normal 2 3 4 4 2 3" xfId="2207" xr:uid="{00000000-0005-0000-0000-00005A090000}"/>
    <cellStyle name="Normal 2 3 4 4 2 3 2" xfId="6067" xr:uid="{00000000-0005-0000-0000-00005B090000}"/>
    <cellStyle name="Normal 2 3 4 4 2 3 3" xfId="10983" xr:uid="{00000000-0005-0000-0000-00005C090000}"/>
    <cellStyle name="Normal 2 3 4 4 2 4" xfId="3435" xr:uid="{00000000-0005-0000-0000-00005D090000}"/>
    <cellStyle name="Normal 2 3 4 4 2 4 2" xfId="7291" xr:uid="{00000000-0005-0000-0000-00005E090000}"/>
    <cellStyle name="Normal 2 3 4 4 2 4 3" xfId="9741" xr:uid="{00000000-0005-0000-0000-00005F090000}"/>
    <cellStyle name="Normal 2 3 4 4 2 5" xfId="4843" xr:uid="{00000000-0005-0000-0000-000060090000}"/>
    <cellStyle name="Normal 2 3 4 4 2 6" xfId="8498" xr:uid="{00000000-0005-0000-0000-000061090000}"/>
    <cellStyle name="Normal 2 3 4 4 3" xfId="1287" xr:uid="{00000000-0005-0000-0000-000062090000}"/>
    <cellStyle name="Normal 2 3 4 4 3 2" xfId="2513" xr:uid="{00000000-0005-0000-0000-000063090000}"/>
    <cellStyle name="Normal 2 3 4 4 3 2 2" xfId="6373" xr:uid="{00000000-0005-0000-0000-000064090000}"/>
    <cellStyle name="Normal 2 3 4 4 3 2 3" xfId="11325" xr:uid="{00000000-0005-0000-0000-000065090000}"/>
    <cellStyle name="Normal 2 3 4 4 3 3" xfId="3741" xr:uid="{00000000-0005-0000-0000-000066090000}"/>
    <cellStyle name="Normal 2 3 4 4 3 3 2" xfId="7597" xr:uid="{00000000-0005-0000-0000-000067090000}"/>
    <cellStyle name="Normal 2 3 4 4 3 3 3" xfId="10083" xr:uid="{00000000-0005-0000-0000-000068090000}"/>
    <cellStyle name="Normal 2 3 4 4 3 4" xfId="5149" xr:uid="{00000000-0005-0000-0000-000069090000}"/>
    <cellStyle name="Normal 2 3 4 4 3 5" xfId="8841" xr:uid="{00000000-0005-0000-0000-00006A090000}"/>
    <cellStyle name="Normal 2 3 4 4 4" xfId="1901" xr:uid="{00000000-0005-0000-0000-00006B090000}"/>
    <cellStyle name="Normal 2 3 4 4 4 2" xfId="5761" xr:uid="{00000000-0005-0000-0000-00006C090000}"/>
    <cellStyle name="Normal 2 3 4 4 4 3" xfId="10695" xr:uid="{00000000-0005-0000-0000-00006D090000}"/>
    <cellStyle name="Normal 2 3 4 4 5" xfId="3128" xr:uid="{00000000-0005-0000-0000-00006E090000}"/>
    <cellStyle name="Normal 2 3 4 4 5 2" xfId="6985" xr:uid="{00000000-0005-0000-0000-00006F090000}"/>
    <cellStyle name="Normal 2 3 4 4 5 3" xfId="11901" xr:uid="{00000000-0005-0000-0000-000070090000}"/>
    <cellStyle name="Normal 2 3 4 4 6" xfId="4537" xr:uid="{00000000-0005-0000-0000-000071090000}"/>
    <cellStyle name="Normal 2 3 4 4 6 2" xfId="9453" xr:uid="{00000000-0005-0000-0000-000072090000}"/>
    <cellStyle name="Normal 2 3 4 4 7" xfId="8210" xr:uid="{00000000-0005-0000-0000-000073090000}"/>
    <cellStyle name="Normal 2 3 4 5" xfId="535" xr:uid="{00000000-0005-0000-0000-000074090000}"/>
    <cellStyle name="Normal 2 3 4 5 2" xfId="885" xr:uid="{00000000-0005-0000-0000-000075090000}"/>
    <cellStyle name="Normal 2 3 4 5 2 2" xfId="1503" xr:uid="{00000000-0005-0000-0000-000076090000}"/>
    <cellStyle name="Normal 2 3 4 5 2 2 2" xfId="2729" xr:uid="{00000000-0005-0000-0000-000077090000}"/>
    <cellStyle name="Normal 2 3 4 5 2 2 2 2" xfId="6589" xr:uid="{00000000-0005-0000-0000-000078090000}"/>
    <cellStyle name="Normal 2 3 4 5 2 2 2 3" xfId="11541" xr:uid="{00000000-0005-0000-0000-000079090000}"/>
    <cellStyle name="Normal 2 3 4 5 2 2 3" xfId="3957" xr:uid="{00000000-0005-0000-0000-00007A090000}"/>
    <cellStyle name="Normal 2 3 4 5 2 2 3 2" xfId="7813" xr:uid="{00000000-0005-0000-0000-00007B090000}"/>
    <cellStyle name="Normal 2 3 4 5 2 2 3 3" xfId="10299" xr:uid="{00000000-0005-0000-0000-00007C090000}"/>
    <cellStyle name="Normal 2 3 4 5 2 2 4" xfId="5365" xr:uid="{00000000-0005-0000-0000-00007D090000}"/>
    <cellStyle name="Normal 2 3 4 5 2 2 5" xfId="9057" xr:uid="{00000000-0005-0000-0000-00007E090000}"/>
    <cellStyle name="Normal 2 3 4 5 2 3" xfId="2117" xr:uid="{00000000-0005-0000-0000-00007F090000}"/>
    <cellStyle name="Normal 2 3 4 5 2 3 2" xfId="5977" xr:uid="{00000000-0005-0000-0000-000080090000}"/>
    <cellStyle name="Normal 2 3 4 5 2 3 3" xfId="11145" xr:uid="{00000000-0005-0000-0000-000081090000}"/>
    <cellStyle name="Normal 2 3 4 5 2 4" xfId="3345" xr:uid="{00000000-0005-0000-0000-000082090000}"/>
    <cellStyle name="Normal 2 3 4 5 2 4 2" xfId="7201" xr:uid="{00000000-0005-0000-0000-000083090000}"/>
    <cellStyle name="Normal 2 3 4 5 2 4 3" xfId="9903" xr:uid="{00000000-0005-0000-0000-000084090000}"/>
    <cellStyle name="Normal 2 3 4 5 2 5" xfId="4753" xr:uid="{00000000-0005-0000-0000-000085090000}"/>
    <cellStyle name="Normal 2 3 4 5 2 6" xfId="8661" xr:uid="{00000000-0005-0000-0000-000086090000}"/>
    <cellStyle name="Normal 2 3 4 5 3" xfId="1197" xr:uid="{00000000-0005-0000-0000-000087090000}"/>
    <cellStyle name="Normal 2 3 4 5 3 2" xfId="2423" xr:uid="{00000000-0005-0000-0000-000088090000}"/>
    <cellStyle name="Normal 2 3 4 5 3 2 2" xfId="6283" xr:uid="{00000000-0005-0000-0000-000089090000}"/>
    <cellStyle name="Normal 2 3 4 5 3 2 3" xfId="11235" xr:uid="{00000000-0005-0000-0000-00008A090000}"/>
    <cellStyle name="Normal 2 3 4 5 3 3" xfId="3651" xr:uid="{00000000-0005-0000-0000-00008B090000}"/>
    <cellStyle name="Normal 2 3 4 5 3 3 2" xfId="7507" xr:uid="{00000000-0005-0000-0000-00008C090000}"/>
    <cellStyle name="Normal 2 3 4 5 3 3 3" xfId="9993" xr:uid="{00000000-0005-0000-0000-00008D090000}"/>
    <cellStyle name="Normal 2 3 4 5 3 4" xfId="5059" xr:uid="{00000000-0005-0000-0000-00008E090000}"/>
    <cellStyle name="Normal 2 3 4 5 3 5" xfId="8751" xr:uid="{00000000-0005-0000-0000-00008F090000}"/>
    <cellStyle name="Normal 2 3 4 5 4" xfId="1811" xr:uid="{00000000-0005-0000-0000-000090090000}"/>
    <cellStyle name="Normal 2 3 4 5 4 2" xfId="5671" xr:uid="{00000000-0005-0000-0000-000091090000}"/>
    <cellStyle name="Normal 2 3 4 5 4 2 2" xfId="11127" xr:uid="{00000000-0005-0000-0000-000092090000}"/>
    <cellStyle name="Normal 2 3 4 5 4 3" xfId="9885" xr:uid="{00000000-0005-0000-0000-000093090000}"/>
    <cellStyle name="Normal 2 3 4 5 4 4" xfId="8642" xr:uid="{00000000-0005-0000-0000-000094090000}"/>
    <cellStyle name="Normal 2 3 4 5 5" xfId="3038" xr:uid="{00000000-0005-0000-0000-000095090000}"/>
    <cellStyle name="Normal 2 3 4 5 5 2" xfId="6895" xr:uid="{00000000-0005-0000-0000-000096090000}"/>
    <cellStyle name="Normal 2 3 4 5 5 3" xfId="10605" xr:uid="{00000000-0005-0000-0000-000097090000}"/>
    <cellStyle name="Normal 2 3 4 5 6" xfId="4447" xr:uid="{00000000-0005-0000-0000-000098090000}"/>
    <cellStyle name="Normal 2 3 4 5 6 2" xfId="9363" xr:uid="{00000000-0005-0000-0000-000099090000}"/>
    <cellStyle name="Normal 2 3 4 5 7" xfId="8120" xr:uid="{00000000-0005-0000-0000-00009A090000}"/>
    <cellStyle name="Normal 2 3 4 6" xfId="811" xr:uid="{00000000-0005-0000-0000-00009B090000}"/>
    <cellStyle name="Normal 2 3 4 6 2" xfId="1449" xr:uid="{00000000-0005-0000-0000-00009C090000}"/>
    <cellStyle name="Normal 2 3 4 6 2 2" xfId="2675" xr:uid="{00000000-0005-0000-0000-00009D090000}"/>
    <cellStyle name="Normal 2 3 4 6 2 2 2" xfId="6535" xr:uid="{00000000-0005-0000-0000-00009E090000}"/>
    <cellStyle name="Normal 2 3 4 6 2 2 3" xfId="11487" xr:uid="{00000000-0005-0000-0000-00009F090000}"/>
    <cellStyle name="Normal 2 3 4 6 2 3" xfId="3903" xr:uid="{00000000-0005-0000-0000-0000A0090000}"/>
    <cellStyle name="Normal 2 3 4 6 2 3 2" xfId="7759" xr:uid="{00000000-0005-0000-0000-0000A1090000}"/>
    <cellStyle name="Normal 2 3 4 6 2 3 3" xfId="10245" xr:uid="{00000000-0005-0000-0000-0000A2090000}"/>
    <cellStyle name="Normal 2 3 4 6 2 4" xfId="5311" xr:uid="{00000000-0005-0000-0000-0000A3090000}"/>
    <cellStyle name="Normal 2 3 4 6 2 5" xfId="9003" xr:uid="{00000000-0005-0000-0000-0000A4090000}"/>
    <cellStyle name="Normal 2 3 4 6 3" xfId="2063" xr:uid="{00000000-0005-0000-0000-0000A5090000}"/>
    <cellStyle name="Normal 2 3 4 6 3 2" xfId="5923" xr:uid="{00000000-0005-0000-0000-0000A6090000}"/>
    <cellStyle name="Normal 2 3 4 6 3 3" xfId="10893" xr:uid="{00000000-0005-0000-0000-0000A7090000}"/>
    <cellStyle name="Normal 2 3 4 6 4" xfId="3291" xr:uid="{00000000-0005-0000-0000-0000A8090000}"/>
    <cellStyle name="Normal 2 3 4 6 4 2" xfId="7147" xr:uid="{00000000-0005-0000-0000-0000A9090000}"/>
    <cellStyle name="Normal 2 3 4 6 4 3" xfId="9651" xr:uid="{00000000-0005-0000-0000-0000AA090000}"/>
    <cellStyle name="Normal 2 3 4 6 5" xfId="4699" xr:uid="{00000000-0005-0000-0000-0000AB090000}"/>
    <cellStyle name="Normal 2 3 4 6 6" xfId="8408" xr:uid="{00000000-0005-0000-0000-0000AC090000}"/>
    <cellStyle name="Normal 2 3 4 7" xfId="1143" xr:uid="{00000000-0005-0000-0000-0000AD090000}"/>
    <cellStyle name="Normal 2 3 4 7 2" xfId="2369" xr:uid="{00000000-0005-0000-0000-0000AE090000}"/>
    <cellStyle name="Normal 2 3 4 7 2 2" xfId="6229" xr:uid="{00000000-0005-0000-0000-0000AF090000}"/>
    <cellStyle name="Normal 2 3 4 7 2 3" xfId="11181" xr:uid="{00000000-0005-0000-0000-0000B0090000}"/>
    <cellStyle name="Normal 2 3 4 7 3" xfId="3597" xr:uid="{00000000-0005-0000-0000-0000B1090000}"/>
    <cellStyle name="Normal 2 3 4 7 3 2" xfId="7453" xr:uid="{00000000-0005-0000-0000-0000B2090000}"/>
    <cellStyle name="Normal 2 3 4 7 3 3" xfId="9939" xr:uid="{00000000-0005-0000-0000-0000B3090000}"/>
    <cellStyle name="Normal 2 3 4 7 4" xfId="5005" xr:uid="{00000000-0005-0000-0000-0000B4090000}"/>
    <cellStyle name="Normal 2 3 4 7 5" xfId="8697" xr:uid="{00000000-0005-0000-0000-0000B5090000}"/>
    <cellStyle name="Normal 2 3 4 8" xfId="1757" xr:uid="{00000000-0005-0000-0000-0000B6090000}"/>
    <cellStyle name="Normal 2 3 4 8 2" xfId="5617" xr:uid="{00000000-0005-0000-0000-0000B7090000}"/>
    <cellStyle name="Normal 2 3 4 8 3" xfId="10551" xr:uid="{00000000-0005-0000-0000-0000B8090000}"/>
    <cellStyle name="Normal 2 3 4 9" xfId="2984" xr:uid="{00000000-0005-0000-0000-0000B9090000}"/>
    <cellStyle name="Normal 2 3 4 9 2" xfId="6841" xr:uid="{00000000-0005-0000-0000-0000BA090000}"/>
    <cellStyle name="Normal 2 3 4 9 3" xfId="11811" xr:uid="{00000000-0005-0000-0000-0000BB090000}"/>
    <cellStyle name="Normal 2 3 5" xfId="556" xr:uid="{00000000-0005-0000-0000-0000BC090000}"/>
    <cellStyle name="Normal 2 3 5 2" xfId="737" xr:uid="{00000000-0005-0000-0000-0000BD090000}"/>
    <cellStyle name="Normal 2 3 5 2 2" xfId="1087" xr:uid="{00000000-0005-0000-0000-0000BE090000}"/>
    <cellStyle name="Normal 2 3 5 2 2 2" xfId="1701" xr:uid="{00000000-0005-0000-0000-0000BF090000}"/>
    <cellStyle name="Normal 2 3 5 2 2 2 2" xfId="2927" xr:uid="{00000000-0005-0000-0000-0000C0090000}"/>
    <cellStyle name="Normal 2 3 5 2 2 2 2 2" xfId="6787" xr:uid="{00000000-0005-0000-0000-0000C1090000}"/>
    <cellStyle name="Normal 2 3 5 2 2 2 2 3" xfId="11739" xr:uid="{00000000-0005-0000-0000-0000C2090000}"/>
    <cellStyle name="Normal 2 3 5 2 2 2 3" xfId="4155" xr:uid="{00000000-0005-0000-0000-0000C3090000}"/>
    <cellStyle name="Normal 2 3 5 2 2 2 3 2" xfId="8011" xr:uid="{00000000-0005-0000-0000-0000C4090000}"/>
    <cellStyle name="Normal 2 3 5 2 2 2 3 3" xfId="10497" xr:uid="{00000000-0005-0000-0000-0000C5090000}"/>
    <cellStyle name="Normal 2 3 5 2 2 2 4" xfId="5563" xr:uid="{00000000-0005-0000-0000-0000C6090000}"/>
    <cellStyle name="Normal 2 3 5 2 2 2 5" xfId="9255" xr:uid="{00000000-0005-0000-0000-0000C7090000}"/>
    <cellStyle name="Normal 2 3 5 2 2 3" xfId="2315" xr:uid="{00000000-0005-0000-0000-0000C8090000}"/>
    <cellStyle name="Normal 2 3 5 2 2 3 2" xfId="6175" xr:uid="{00000000-0005-0000-0000-0000C9090000}"/>
    <cellStyle name="Normal 2 3 5 2 2 3 3" xfId="11091" xr:uid="{00000000-0005-0000-0000-0000CA090000}"/>
    <cellStyle name="Normal 2 3 5 2 2 4" xfId="3543" xr:uid="{00000000-0005-0000-0000-0000CB090000}"/>
    <cellStyle name="Normal 2 3 5 2 2 4 2" xfId="7399" xr:uid="{00000000-0005-0000-0000-0000CC090000}"/>
    <cellStyle name="Normal 2 3 5 2 2 4 3" xfId="9849" xr:uid="{00000000-0005-0000-0000-0000CD090000}"/>
    <cellStyle name="Normal 2 3 5 2 2 5" xfId="4951" xr:uid="{00000000-0005-0000-0000-0000CE090000}"/>
    <cellStyle name="Normal 2 3 5 2 2 6" xfId="8606" xr:uid="{00000000-0005-0000-0000-0000CF090000}"/>
    <cellStyle name="Normal 2 3 5 2 3" xfId="1395" xr:uid="{00000000-0005-0000-0000-0000D0090000}"/>
    <cellStyle name="Normal 2 3 5 2 3 2" xfId="2621" xr:uid="{00000000-0005-0000-0000-0000D1090000}"/>
    <cellStyle name="Normal 2 3 5 2 3 2 2" xfId="6481" xr:uid="{00000000-0005-0000-0000-0000D2090000}"/>
    <cellStyle name="Normal 2 3 5 2 3 2 3" xfId="11433" xr:uid="{00000000-0005-0000-0000-0000D3090000}"/>
    <cellStyle name="Normal 2 3 5 2 3 3" xfId="3849" xr:uid="{00000000-0005-0000-0000-0000D4090000}"/>
    <cellStyle name="Normal 2 3 5 2 3 3 2" xfId="7705" xr:uid="{00000000-0005-0000-0000-0000D5090000}"/>
    <cellStyle name="Normal 2 3 5 2 3 3 3" xfId="10191" xr:uid="{00000000-0005-0000-0000-0000D6090000}"/>
    <cellStyle name="Normal 2 3 5 2 3 4" xfId="5257" xr:uid="{00000000-0005-0000-0000-0000D7090000}"/>
    <cellStyle name="Normal 2 3 5 2 3 5" xfId="8949" xr:uid="{00000000-0005-0000-0000-0000D8090000}"/>
    <cellStyle name="Normal 2 3 5 2 4" xfId="2009" xr:uid="{00000000-0005-0000-0000-0000D9090000}"/>
    <cellStyle name="Normal 2 3 5 2 4 2" xfId="5869" xr:uid="{00000000-0005-0000-0000-0000DA090000}"/>
    <cellStyle name="Normal 2 3 5 2 4 3" xfId="10803" xr:uid="{00000000-0005-0000-0000-0000DB090000}"/>
    <cellStyle name="Normal 2 3 5 2 5" xfId="3236" xr:uid="{00000000-0005-0000-0000-0000DC090000}"/>
    <cellStyle name="Normal 2 3 5 2 5 2" xfId="7093" xr:uid="{00000000-0005-0000-0000-0000DD090000}"/>
    <cellStyle name="Normal 2 3 5 2 5 3" xfId="12009" xr:uid="{00000000-0005-0000-0000-0000DE090000}"/>
    <cellStyle name="Normal 2 3 5 2 6" xfId="4645" xr:uid="{00000000-0005-0000-0000-0000DF090000}"/>
    <cellStyle name="Normal 2 3 5 2 6 2" xfId="9561" xr:uid="{00000000-0005-0000-0000-0000E0090000}"/>
    <cellStyle name="Normal 2 3 5 2 7" xfId="8318" xr:uid="{00000000-0005-0000-0000-0000E1090000}"/>
    <cellStyle name="Normal 2 3 5 3" xfId="647" xr:uid="{00000000-0005-0000-0000-0000E2090000}"/>
    <cellStyle name="Normal 2 3 5 3 2" xfId="997" xr:uid="{00000000-0005-0000-0000-0000E3090000}"/>
    <cellStyle name="Normal 2 3 5 3 2 2" xfId="1611" xr:uid="{00000000-0005-0000-0000-0000E4090000}"/>
    <cellStyle name="Normal 2 3 5 3 2 2 2" xfId="2837" xr:uid="{00000000-0005-0000-0000-0000E5090000}"/>
    <cellStyle name="Normal 2 3 5 3 2 2 2 2" xfId="6697" xr:uid="{00000000-0005-0000-0000-0000E6090000}"/>
    <cellStyle name="Normal 2 3 5 3 2 2 2 3" xfId="11649" xr:uid="{00000000-0005-0000-0000-0000E7090000}"/>
    <cellStyle name="Normal 2 3 5 3 2 2 3" xfId="4065" xr:uid="{00000000-0005-0000-0000-0000E8090000}"/>
    <cellStyle name="Normal 2 3 5 3 2 2 3 2" xfId="7921" xr:uid="{00000000-0005-0000-0000-0000E9090000}"/>
    <cellStyle name="Normal 2 3 5 3 2 2 3 3" xfId="10407" xr:uid="{00000000-0005-0000-0000-0000EA090000}"/>
    <cellStyle name="Normal 2 3 5 3 2 2 4" xfId="5473" xr:uid="{00000000-0005-0000-0000-0000EB090000}"/>
    <cellStyle name="Normal 2 3 5 3 2 2 5" xfId="9165" xr:uid="{00000000-0005-0000-0000-0000EC090000}"/>
    <cellStyle name="Normal 2 3 5 3 2 3" xfId="2225" xr:uid="{00000000-0005-0000-0000-0000ED090000}"/>
    <cellStyle name="Normal 2 3 5 3 2 3 2" xfId="6085" xr:uid="{00000000-0005-0000-0000-0000EE090000}"/>
    <cellStyle name="Normal 2 3 5 3 2 3 3" xfId="11001" xr:uid="{00000000-0005-0000-0000-0000EF090000}"/>
    <cellStyle name="Normal 2 3 5 3 2 4" xfId="3453" xr:uid="{00000000-0005-0000-0000-0000F0090000}"/>
    <cellStyle name="Normal 2 3 5 3 2 4 2" xfId="7309" xr:uid="{00000000-0005-0000-0000-0000F1090000}"/>
    <cellStyle name="Normal 2 3 5 3 2 4 3" xfId="9759" xr:uid="{00000000-0005-0000-0000-0000F2090000}"/>
    <cellStyle name="Normal 2 3 5 3 2 5" xfId="4861" xr:uid="{00000000-0005-0000-0000-0000F3090000}"/>
    <cellStyle name="Normal 2 3 5 3 2 6" xfId="8516" xr:uid="{00000000-0005-0000-0000-0000F4090000}"/>
    <cellStyle name="Normal 2 3 5 3 3" xfId="1305" xr:uid="{00000000-0005-0000-0000-0000F5090000}"/>
    <cellStyle name="Normal 2 3 5 3 3 2" xfId="2531" xr:uid="{00000000-0005-0000-0000-0000F6090000}"/>
    <cellStyle name="Normal 2 3 5 3 3 2 2" xfId="6391" xr:uid="{00000000-0005-0000-0000-0000F7090000}"/>
    <cellStyle name="Normal 2 3 5 3 3 2 3" xfId="11343" xr:uid="{00000000-0005-0000-0000-0000F8090000}"/>
    <cellStyle name="Normal 2 3 5 3 3 3" xfId="3759" xr:uid="{00000000-0005-0000-0000-0000F9090000}"/>
    <cellStyle name="Normal 2 3 5 3 3 3 2" xfId="7615" xr:uid="{00000000-0005-0000-0000-0000FA090000}"/>
    <cellStyle name="Normal 2 3 5 3 3 3 3" xfId="10101" xr:uid="{00000000-0005-0000-0000-0000FB090000}"/>
    <cellStyle name="Normal 2 3 5 3 3 4" xfId="5167" xr:uid="{00000000-0005-0000-0000-0000FC090000}"/>
    <cellStyle name="Normal 2 3 5 3 3 5" xfId="8859" xr:uid="{00000000-0005-0000-0000-0000FD090000}"/>
    <cellStyle name="Normal 2 3 5 3 4" xfId="1919" xr:uid="{00000000-0005-0000-0000-0000FE090000}"/>
    <cellStyle name="Normal 2 3 5 3 4 2" xfId="5779" xr:uid="{00000000-0005-0000-0000-0000FF090000}"/>
    <cellStyle name="Normal 2 3 5 3 4 3" xfId="10713" xr:uid="{00000000-0005-0000-0000-0000000A0000}"/>
    <cellStyle name="Normal 2 3 5 3 5" xfId="3146" xr:uid="{00000000-0005-0000-0000-0000010A0000}"/>
    <cellStyle name="Normal 2 3 5 3 5 2" xfId="7003" xr:uid="{00000000-0005-0000-0000-0000020A0000}"/>
    <cellStyle name="Normal 2 3 5 3 5 3" xfId="11919" xr:uid="{00000000-0005-0000-0000-0000030A0000}"/>
    <cellStyle name="Normal 2 3 5 3 6" xfId="4555" xr:uid="{00000000-0005-0000-0000-0000040A0000}"/>
    <cellStyle name="Normal 2 3 5 3 6 2" xfId="9471" xr:uid="{00000000-0005-0000-0000-0000050A0000}"/>
    <cellStyle name="Normal 2 3 5 3 7" xfId="8228" xr:uid="{00000000-0005-0000-0000-0000060A0000}"/>
    <cellStyle name="Normal 2 3 5 4" xfId="906" xr:uid="{00000000-0005-0000-0000-0000070A0000}"/>
    <cellStyle name="Normal 2 3 5 4 2" xfId="1521" xr:uid="{00000000-0005-0000-0000-0000080A0000}"/>
    <cellStyle name="Normal 2 3 5 4 2 2" xfId="2747" xr:uid="{00000000-0005-0000-0000-0000090A0000}"/>
    <cellStyle name="Normal 2 3 5 4 2 2 2" xfId="6607" xr:uid="{00000000-0005-0000-0000-00000A0A0000}"/>
    <cellStyle name="Normal 2 3 5 4 2 2 3" xfId="11559" xr:uid="{00000000-0005-0000-0000-00000B0A0000}"/>
    <cellStyle name="Normal 2 3 5 4 2 3" xfId="3975" xr:uid="{00000000-0005-0000-0000-00000C0A0000}"/>
    <cellStyle name="Normal 2 3 5 4 2 3 2" xfId="7831" xr:uid="{00000000-0005-0000-0000-00000D0A0000}"/>
    <cellStyle name="Normal 2 3 5 4 2 3 3" xfId="10317" xr:uid="{00000000-0005-0000-0000-00000E0A0000}"/>
    <cellStyle name="Normal 2 3 5 4 2 4" xfId="5383" xr:uid="{00000000-0005-0000-0000-00000F0A0000}"/>
    <cellStyle name="Normal 2 3 5 4 2 5" xfId="9075" xr:uid="{00000000-0005-0000-0000-0000100A0000}"/>
    <cellStyle name="Normal 2 3 5 4 3" xfId="2135" xr:uid="{00000000-0005-0000-0000-0000110A0000}"/>
    <cellStyle name="Normal 2 3 5 4 3 2" xfId="5995" xr:uid="{00000000-0005-0000-0000-0000120A0000}"/>
    <cellStyle name="Normal 2 3 5 4 3 3" xfId="10911" xr:uid="{00000000-0005-0000-0000-0000130A0000}"/>
    <cellStyle name="Normal 2 3 5 4 4" xfId="3363" xr:uid="{00000000-0005-0000-0000-0000140A0000}"/>
    <cellStyle name="Normal 2 3 5 4 4 2" xfId="7219" xr:uid="{00000000-0005-0000-0000-0000150A0000}"/>
    <cellStyle name="Normal 2 3 5 4 4 3" xfId="9669" xr:uid="{00000000-0005-0000-0000-0000160A0000}"/>
    <cellStyle name="Normal 2 3 5 4 5" xfId="4771" xr:uid="{00000000-0005-0000-0000-0000170A0000}"/>
    <cellStyle name="Normal 2 3 5 4 6" xfId="8426" xr:uid="{00000000-0005-0000-0000-0000180A0000}"/>
    <cellStyle name="Normal 2 3 5 5" xfId="1215" xr:uid="{00000000-0005-0000-0000-0000190A0000}"/>
    <cellStyle name="Normal 2 3 5 5 2" xfId="2441" xr:uid="{00000000-0005-0000-0000-00001A0A0000}"/>
    <cellStyle name="Normal 2 3 5 5 2 2" xfId="6301" xr:uid="{00000000-0005-0000-0000-00001B0A0000}"/>
    <cellStyle name="Normal 2 3 5 5 2 3" xfId="11253" xr:uid="{00000000-0005-0000-0000-00001C0A0000}"/>
    <cellStyle name="Normal 2 3 5 5 3" xfId="3669" xr:uid="{00000000-0005-0000-0000-00001D0A0000}"/>
    <cellStyle name="Normal 2 3 5 5 3 2" xfId="7525" xr:uid="{00000000-0005-0000-0000-00001E0A0000}"/>
    <cellStyle name="Normal 2 3 5 5 3 3" xfId="10011" xr:uid="{00000000-0005-0000-0000-00001F0A0000}"/>
    <cellStyle name="Normal 2 3 5 5 4" xfId="5077" xr:uid="{00000000-0005-0000-0000-0000200A0000}"/>
    <cellStyle name="Normal 2 3 5 5 5" xfId="8769" xr:uid="{00000000-0005-0000-0000-0000210A0000}"/>
    <cellStyle name="Normal 2 3 5 6" xfId="1829" xr:uid="{00000000-0005-0000-0000-0000220A0000}"/>
    <cellStyle name="Normal 2 3 5 6 2" xfId="5689" xr:uid="{00000000-0005-0000-0000-0000230A0000}"/>
    <cellStyle name="Normal 2 3 5 6 3" xfId="10623" xr:uid="{00000000-0005-0000-0000-0000240A0000}"/>
    <cellStyle name="Normal 2 3 5 7" xfId="3056" xr:uid="{00000000-0005-0000-0000-0000250A0000}"/>
    <cellStyle name="Normal 2 3 5 7 2" xfId="6913" xr:uid="{00000000-0005-0000-0000-0000260A0000}"/>
    <cellStyle name="Normal 2 3 5 7 3" xfId="11829" xr:uid="{00000000-0005-0000-0000-0000270A0000}"/>
    <cellStyle name="Normal 2 3 5 8" xfId="4465" xr:uid="{00000000-0005-0000-0000-0000280A0000}"/>
    <cellStyle name="Normal 2 3 5 8 2" xfId="9381" xr:uid="{00000000-0005-0000-0000-0000290A0000}"/>
    <cellStyle name="Normal 2 3 5 9" xfId="8138" xr:uid="{00000000-0005-0000-0000-00002A0A0000}"/>
    <cellStyle name="Normal 2 3 6" xfId="499" xr:uid="{00000000-0005-0000-0000-00002B0A0000}"/>
    <cellStyle name="Normal 2 3 6 2" xfId="701" xr:uid="{00000000-0005-0000-0000-00002C0A0000}"/>
    <cellStyle name="Normal 2 3 6 2 2" xfId="1051" xr:uid="{00000000-0005-0000-0000-00002D0A0000}"/>
    <cellStyle name="Normal 2 3 6 2 2 2" xfId="1665" xr:uid="{00000000-0005-0000-0000-00002E0A0000}"/>
    <cellStyle name="Normal 2 3 6 2 2 2 2" xfId="2891" xr:uid="{00000000-0005-0000-0000-00002F0A0000}"/>
    <cellStyle name="Normal 2 3 6 2 2 2 2 2" xfId="6751" xr:uid="{00000000-0005-0000-0000-0000300A0000}"/>
    <cellStyle name="Normal 2 3 6 2 2 2 2 3" xfId="11703" xr:uid="{00000000-0005-0000-0000-0000310A0000}"/>
    <cellStyle name="Normal 2 3 6 2 2 2 3" xfId="4119" xr:uid="{00000000-0005-0000-0000-0000320A0000}"/>
    <cellStyle name="Normal 2 3 6 2 2 2 3 2" xfId="7975" xr:uid="{00000000-0005-0000-0000-0000330A0000}"/>
    <cellStyle name="Normal 2 3 6 2 2 2 3 3" xfId="10461" xr:uid="{00000000-0005-0000-0000-0000340A0000}"/>
    <cellStyle name="Normal 2 3 6 2 2 2 4" xfId="5527" xr:uid="{00000000-0005-0000-0000-0000350A0000}"/>
    <cellStyle name="Normal 2 3 6 2 2 2 5" xfId="9219" xr:uid="{00000000-0005-0000-0000-0000360A0000}"/>
    <cellStyle name="Normal 2 3 6 2 2 3" xfId="2279" xr:uid="{00000000-0005-0000-0000-0000370A0000}"/>
    <cellStyle name="Normal 2 3 6 2 2 3 2" xfId="6139" xr:uid="{00000000-0005-0000-0000-0000380A0000}"/>
    <cellStyle name="Normal 2 3 6 2 2 3 3" xfId="11055" xr:uid="{00000000-0005-0000-0000-0000390A0000}"/>
    <cellStyle name="Normal 2 3 6 2 2 4" xfId="3507" xr:uid="{00000000-0005-0000-0000-00003A0A0000}"/>
    <cellStyle name="Normal 2 3 6 2 2 4 2" xfId="7363" xr:uid="{00000000-0005-0000-0000-00003B0A0000}"/>
    <cellStyle name="Normal 2 3 6 2 2 4 3" xfId="9813" xr:uid="{00000000-0005-0000-0000-00003C0A0000}"/>
    <cellStyle name="Normal 2 3 6 2 2 5" xfId="4915" xr:uid="{00000000-0005-0000-0000-00003D0A0000}"/>
    <cellStyle name="Normal 2 3 6 2 2 6" xfId="8570" xr:uid="{00000000-0005-0000-0000-00003E0A0000}"/>
    <cellStyle name="Normal 2 3 6 2 3" xfId="1359" xr:uid="{00000000-0005-0000-0000-00003F0A0000}"/>
    <cellStyle name="Normal 2 3 6 2 3 2" xfId="2585" xr:uid="{00000000-0005-0000-0000-0000400A0000}"/>
    <cellStyle name="Normal 2 3 6 2 3 2 2" xfId="6445" xr:uid="{00000000-0005-0000-0000-0000410A0000}"/>
    <cellStyle name="Normal 2 3 6 2 3 2 3" xfId="11397" xr:uid="{00000000-0005-0000-0000-0000420A0000}"/>
    <cellStyle name="Normal 2 3 6 2 3 3" xfId="3813" xr:uid="{00000000-0005-0000-0000-0000430A0000}"/>
    <cellStyle name="Normal 2 3 6 2 3 3 2" xfId="7669" xr:uid="{00000000-0005-0000-0000-0000440A0000}"/>
    <cellStyle name="Normal 2 3 6 2 3 3 3" xfId="10155" xr:uid="{00000000-0005-0000-0000-0000450A0000}"/>
    <cellStyle name="Normal 2 3 6 2 3 4" xfId="5221" xr:uid="{00000000-0005-0000-0000-0000460A0000}"/>
    <cellStyle name="Normal 2 3 6 2 3 5" xfId="8913" xr:uid="{00000000-0005-0000-0000-0000470A0000}"/>
    <cellStyle name="Normal 2 3 6 2 4" xfId="1973" xr:uid="{00000000-0005-0000-0000-0000480A0000}"/>
    <cellStyle name="Normal 2 3 6 2 4 2" xfId="5833" xr:uid="{00000000-0005-0000-0000-0000490A0000}"/>
    <cellStyle name="Normal 2 3 6 2 4 3" xfId="10767" xr:uid="{00000000-0005-0000-0000-00004A0A0000}"/>
    <cellStyle name="Normal 2 3 6 2 5" xfId="3200" xr:uid="{00000000-0005-0000-0000-00004B0A0000}"/>
    <cellStyle name="Normal 2 3 6 2 5 2" xfId="7057" xr:uid="{00000000-0005-0000-0000-00004C0A0000}"/>
    <cellStyle name="Normal 2 3 6 2 5 3" xfId="11973" xr:uid="{00000000-0005-0000-0000-00004D0A0000}"/>
    <cellStyle name="Normal 2 3 6 2 6" xfId="4609" xr:uid="{00000000-0005-0000-0000-00004E0A0000}"/>
    <cellStyle name="Normal 2 3 6 2 6 2" xfId="9525" xr:uid="{00000000-0005-0000-0000-00004F0A0000}"/>
    <cellStyle name="Normal 2 3 6 2 7" xfId="8282" xr:uid="{00000000-0005-0000-0000-0000500A0000}"/>
    <cellStyle name="Normal 2 3 6 3" xfId="611" xr:uid="{00000000-0005-0000-0000-0000510A0000}"/>
    <cellStyle name="Normal 2 3 6 3 2" xfId="961" xr:uid="{00000000-0005-0000-0000-0000520A0000}"/>
    <cellStyle name="Normal 2 3 6 3 2 2" xfId="1575" xr:uid="{00000000-0005-0000-0000-0000530A0000}"/>
    <cellStyle name="Normal 2 3 6 3 2 2 2" xfId="2801" xr:uid="{00000000-0005-0000-0000-0000540A0000}"/>
    <cellStyle name="Normal 2 3 6 3 2 2 2 2" xfId="6661" xr:uid="{00000000-0005-0000-0000-0000550A0000}"/>
    <cellStyle name="Normal 2 3 6 3 2 2 2 3" xfId="11613" xr:uid="{00000000-0005-0000-0000-0000560A0000}"/>
    <cellStyle name="Normal 2 3 6 3 2 2 3" xfId="4029" xr:uid="{00000000-0005-0000-0000-0000570A0000}"/>
    <cellStyle name="Normal 2 3 6 3 2 2 3 2" xfId="7885" xr:uid="{00000000-0005-0000-0000-0000580A0000}"/>
    <cellStyle name="Normal 2 3 6 3 2 2 3 3" xfId="10371" xr:uid="{00000000-0005-0000-0000-0000590A0000}"/>
    <cellStyle name="Normal 2 3 6 3 2 2 4" xfId="5437" xr:uid="{00000000-0005-0000-0000-00005A0A0000}"/>
    <cellStyle name="Normal 2 3 6 3 2 2 5" xfId="9129" xr:uid="{00000000-0005-0000-0000-00005B0A0000}"/>
    <cellStyle name="Normal 2 3 6 3 2 3" xfId="2189" xr:uid="{00000000-0005-0000-0000-00005C0A0000}"/>
    <cellStyle name="Normal 2 3 6 3 2 3 2" xfId="6049" xr:uid="{00000000-0005-0000-0000-00005D0A0000}"/>
    <cellStyle name="Normal 2 3 6 3 2 3 3" xfId="10965" xr:uid="{00000000-0005-0000-0000-00005E0A0000}"/>
    <cellStyle name="Normal 2 3 6 3 2 4" xfId="3417" xr:uid="{00000000-0005-0000-0000-00005F0A0000}"/>
    <cellStyle name="Normal 2 3 6 3 2 4 2" xfId="7273" xr:uid="{00000000-0005-0000-0000-0000600A0000}"/>
    <cellStyle name="Normal 2 3 6 3 2 4 3" xfId="9723" xr:uid="{00000000-0005-0000-0000-0000610A0000}"/>
    <cellStyle name="Normal 2 3 6 3 2 5" xfId="4825" xr:uid="{00000000-0005-0000-0000-0000620A0000}"/>
    <cellStyle name="Normal 2 3 6 3 2 6" xfId="8480" xr:uid="{00000000-0005-0000-0000-0000630A0000}"/>
    <cellStyle name="Normal 2 3 6 3 3" xfId="1269" xr:uid="{00000000-0005-0000-0000-0000640A0000}"/>
    <cellStyle name="Normal 2 3 6 3 3 2" xfId="2495" xr:uid="{00000000-0005-0000-0000-0000650A0000}"/>
    <cellStyle name="Normal 2 3 6 3 3 2 2" xfId="6355" xr:uid="{00000000-0005-0000-0000-0000660A0000}"/>
    <cellStyle name="Normal 2 3 6 3 3 2 3" xfId="11307" xr:uid="{00000000-0005-0000-0000-0000670A0000}"/>
    <cellStyle name="Normal 2 3 6 3 3 3" xfId="3723" xr:uid="{00000000-0005-0000-0000-0000680A0000}"/>
    <cellStyle name="Normal 2 3 6 3 3 3 2" xfId="7579" xr:uid="{00000000-0005-0000-0000-0000690A0000}"/>
    <cellStyle name="Normal 2 3 6 3 3 3 3" xfId="10065" xr:uid="{00000000-0005-0000-0000-00006A0A0000}"/>
    <cellStyle name="Normal 2 3 6 3 3 4" xfId="5131" xr:uid="{00000000-0005-0000-0000-00006B0A0000}"/>
    <cellStyle name="Normal 2 3 6 3 3 5" xfId="8823" xr:uid="{00000000-0005-0000-0000-00006C0A0000}"/>
    <cellStyle name="Normal 2 3 6 3 4" xfId="1883" xr:uid="{00000000-0005-0000-0000-00006D0A0000}"/>
    <cellStyle name="Normal 2 3 6 3 4 2" xfId="5743" xr:uid="{00000000-0005-0000-0000-00006E0A0000}"/>
    <cellStyle name="Normal 2 3 6 3 4 3" xfId="10677" xr:uid="{00000000-0005-0000-0000-00006F0A0000}"/>
    <cellStyle name="Normal 2 3 6 3 5" xfId="3110" xr:uid="{00000000-0005-0000-0000-0000700A0000}"/>
    <cellStyle name="Normal 2 3 6 3 5 2" xfId="6967" xr:uid="{00000000-0005-0000-0000-0000710A0000}"/>
    <cellStyle name="Normal 2 3 6 3 5 3" xfId="11883" xr:uid="{00000000-0005-0000-0000-0000720A0000}"/>
    <cellStyle name="Normal 2 3 6 3 6" xfId="4519" xr:uid="{00000000-0005-0000-0000-0000730A0000}"/>
    <cellStyle name="Normal 2 3 6 3 6 2" xfId="9435" xr:uid="{00000000-0005-0000-0000-0000740A0000}"/>
    <cellStyle name="Normal 2 3 6 3 7" xfId="8192" xr:uid="{00000000-0005-0000-0000-0000750A0000}"/>
    <cellStyle name="Normal 2 3 6 4" xfId="849" xr:uid="{00000000-0005-0000-0000-0000760A0000}"/>
    <cellStyle name="Normal 2 3 6 4 2" xfId="1485" xr:uid="{00000000-0005-0000-0000-0000770A0000}"/>
    <cellStyle name="Normal 2 3 6 4 2 2" xfId="2711" xr:uid="{00000000-0005-0000-0000-0000780A0000}"/>
    <cellStyle name="Normal 2 3 6 4 2 2 2" xfId="6571" xr:uid="{00000000-0005-0000-0000-0000790A0000}"/>
    <cellStyle name="Normal 2 3 6 4 2 2 3" xfId="11523" xr:uid="{00000000-0005-0000-0000-00007A0A0000}"/>
    <cellStyle name="Normal 2 3 6 4 2 3" xfId="3939" xr:uid="{00000000-0005-0000-0000-00007B0A0000}"/>
    <cellStyle name="Normal 2 3 6 4 2 3 2" xfId="7795" xr:uid="{00000000-0005-0000-0000-00007C0A0000}"/>
    <cellStyle name="Normal 2 3 6 4 2 3 3" xfId="10281" xr:uid="{00000000-0005-0000-0000-00007D0A0000}"/>
    <cellStyle name="Normal 2 3 6 4 2 4" xfId="5347" xr:uid="{00000000-0005-0000-0000-00007E0A0000}"/>
    <cellStyle name="Normal 2 3 6 4 2 5" xfId="9039" xr:uid="{00000000-0005-0000-0000-00007F0A0000}"/>
    <cellStyle name="Normal 2 3 6 4 3" xfId="2099" xr:uid="{00000000-0005-0000-0000-0000800A0000}"/>
    <cellStyle name="Normal 2 3 6 4 3 2" xfId="5959" xr:uid="{00000000-0005-0000-0000-0000810A0000}"/>
    <cellStyle name="Normal 2 3 6 4 3 3" xfId="10875" xr:uid="{00000000-0005-0000-0000-0000820A0000}"/>
    <cellStyle name="Normal 2 3 6 4 4" xfId="3327" xr:uid="{00000000-0005-0000-0000-0000830A0000}"/>
    <cellStyle name="Normal 2 3 6 4 4 2" xfId="7183" xr:uid="{00000000-0005-0000-0000-0000840A0000}"/>
    <cellStyle name="Normal 2 3 6 4 4 3" xfId="9633" xr:uid="{00000000-0005-0000-0000-0000850A0000}"/>
    <cellStyle name="Normal 2 3 6 4 5" xfId="4735" xr:uid="{00000000-0005-0000-0000-0000860A0000}"/>
    <cellStyle name="Normal 2 3 6 4 6" xfId="8390" xr:uid="{00000000-0005-0000-0000-0000870A0000}"/>
    <cellStyle name="Normal 2 3 6 5" xfId="1179" xr:uid="{00000000-0005-0000-0000-0000880A0000}"/>
    <cellStyle name="Normal 2 3 6 5 2" xfId="2405" xr:uid="{00000000-0005-0000-0000-0000890A0000}"/>
    <cellStyle name="Normal 2 3 6 5 2 2" xfId="6265" xr:uid="{00000000-0005-0000-0000-00008A0A0000}"/>
    <cellStyle name="Normal 2 3 6 5 2 3" xfId="11217" xr:uid="{00000000-0005-0000-0000-00008B0A0000}"/>
    <cellStyle name="Normal 2 3 6 5 3" xfId="3633" xr:uid="{00000000-0005-0000-0000-00008C0A0000}"/>
    <cellStyle name="Normal 2 3 6 5 3 2" xfId="7489" xr:uid="{00000000-0005-0000-0000-00008D0A0000}"/>
    <cellStyle name="Normal 2 3 6 5 3 3" xfId="9975" xr:uid="{00000000-0005-0000-0000-00008E0A0000}"/>
    <cellStyle name="Normal 2 3 6 5 4" xfId="5041" xr:uid="{00000000-0005-0000-0000-00008F0A0000}"/>
    <cellStyle name="Normal 2 3 6 5 5" xfId="8733" xr:uid="{00000000-0005-0000-0000-0000900A0000}"/>
    <cellStyle name="Normal 2 3 6 6" xfId="1793" xr:uid="{00000000-0005-0000-0000-0000910A0000}"/>
    <cellStyle name="Normal 2 3 6 6 2" xfId="5653" xr:uid="{00000000-0005-0000-0000-0000920A0000}"/>
    <cellStyle name="Normal 2 3 6 6 3" xfId="10587" xr:uid="{00000000-0005-0000-0000-0000930A0000}"/>
    <cellStyle name="Normal 2 3 6 7" xfId="3020" xr:uid="{00000000-0005-0000-0000-0000940A0000}"/>
    <cellStyle name="Normal 2 3 6 7 2" xfId="6877" xr:uid="{00000000-0005-0000-0000-0000950A0000}"/>
    <cellStyle name="Normal 2 3 6 7 3" xfId="11793" xr:uid="{00000000-0005-0000-0000-0000960A0000}"/>
    <cellStyle name="Normal 2 3 6 8" xfId="4429" xr:uid="{00000000-0005-0000-0000-0000970A0000}"/>
    <cellStyle name="Normal 2 3 6 8 2" xfId="9345" xr:uid="{00000000-0005-0000-0000-0000980A0000}"/>
    <cellStyle name="Normal 2 3 6 9" xfId="8102" xr:uid="{00000000-0005-0000-0000-0000990A0000}"/>
    <cellStyle name="Normal 2 3 7" xfId="683" xr:uid="{00000000-0005-0000-0000-00009A0A0000}"/>
    <cellStyle name="Normal 2 3 7 2" xfId="1033" xr:uid="{00000000-0005-0000-0000-00009B0A0000}"/>
    <cellStyle name="Normal 2 3 7 2 2" xfId="1647" xr:uid="{00000000-0005-0000-0000-00009C0A0000}"/>
    <cellStyle name="Normal 2 3 7 2 2 2" xfId="2873" xr:uid="{00000000-0005-0000-0000-00009D0A0000}"/>
    <cellStyle name="Normal 2 3 7 2 2 2 2" xfId="6733" xr:uid="{00000000-0005-0000-0000-00009E0A0000}"/>
    <cellStyle name="Normal 2 3 7 2 2 2 3" xfId="11685" xr:uid="{00000000-0005-0000-0000-00009F0A0000}"/>
    <cellStyle name="Normal 2 3 7 2 2 3" xfId="4101" xr:uid="{00000000-0005-0000-0000-0000A00A0000}"/>
    <cellStyle name="Normal 2 3 7 2 2 3 2" xfId="7957" xr:uid="{00000000-0005-0000-0000-0000A10A0000}"/>
    <cellStyle name="Normal 2 3 7 2 2 3 3" xfId="10443" xr:uid="{00000000-0005-0000-0000-0000A20A0000}"/>
    <cellStyle name="Normal 2 3 7 2 2 4" xfId="5509" xr:uid="{00000000-0005-0000-0000-0000A30A0000}"/>
    <cellStyle name="Normal 2 3 7 2 2 5" xfId="9201" xr:uid="{00000000-0005-0000-0000-0000A40A0000}"/>
    <cellStyle name="Normal 2 3 7 2 3" xfId="2261" xr:uid="{00000000-0005-0000-0000-0000A50A0000}"/>
    <cellStyle name="Normal 2 3 7 2 3 2" xfId="6121" xr:uid="{00000000-0005-0000-0000-0000A60A0000}"/>
    <cellStyle name="Normal 2 3 7 2 3 3" xfId="11037" xr:uid="{00000000-0005-0000-0000-0000A70A0000}"/>
    <cellStyle name="Normal 2 3 7 2 4" xfId="3489" xr:uid="{00000000-0005-0000-0000-0000A80A0000}"/>
    <cellStyle name="Normal 2 3 7 2 4 2" xfId="7345" xr:uid="{00000000-0005-0000-0000-0000A90A0000}"/>
    <cellStyle name="Normal 2 3 7 2 4 3" xfId="9795" xr:uid="{00000000-0005-0000-0000-0000AA0A0000}"/>
    <cellStyle name="Normal 2 3 7 2 5" xfId="4897" xr:uid="{00000000-0005-0000-0000-0000AB0A0000}"/>
    <cellStyle name="Normal 2 3 7 2 6" xfId="8552" xr:uid="{00000000-0005-0000-0000-0000AC0A0000}"/>
    <cellStyle name="Normal 2 3 7 3" xfId="1341" xr:uid="{00000000-0005-0000-0000-0000AD0A0000}"/>
    <cellStyle name="Normal 2 3 7 3 2" xfId="2567" xr:uid="{00000000-0005-0000-0000-0000AE0A0000}"/>
    <cellStyle name="Normal 2 3 7 3 2 2" xfId="6427" xr:uid="{00000000-0005-0000-0000-0000AF0A0000}"/>
    <cellStyle name="Normal 2 3 7 3 2 3" xfId="11379" xr:uid="{00000000-0005-0000-0000-0000B00A0000}"/>
    <cellStyle name="Normal 2 3 7 3 3" xfId="3795" xr:uid="{00000000-0005-0000-0000-0000B10A0000}"/>
    <cellStyle name="Normal 2 3 7 3 3 2" xfId="7651" xr:uid="{00000000-0005-0000-0000-0000B20A0000}"/>
    <cellStyle name="Normal 2 3 7 3 3 3" xfId="10137" xr:uid="{00000000-0005-0000-0000-0000B30A0000}"/>
    <cellStyle name="Normal 2 3 7 3 4" xfId="5203" xr:uid="{00000000-0005-0000-0000-0000B40A0000}"/>
    <cellStyle name="Normal 2 3 7 3 5" xfId="8895" xr:uid="{00000000-0005-0000-0000-0000B50A0000}"/>
    <cellStyle name="Normal 2 3 7 4" xfId="1955" xr:uid="{00000000-0005-0000-0000-0000B60A0000}"/>
    <cellStyle name="Normal 2 3 7 4 2" xfId="5815" xr:uid="{00000000-0005-0000-0000-0000B70A0000}"/>
    <cellStyle name="Normal 2 3 7 4 3" xfId="10749" xr:uid="{00000000-0005-0000-0000-0000B80A0000}"/>
    <cellStyle name="Normal 2 3 7 5" xfId="3182" xr:uid="{00000000-0005-0000-0000-0000B90A0000}"/>
    <cellStyle name="Normal 2 3 7 5 2" xfId="7039" xr:uid="{00000000-0005-0000-0000-0000BA0A0000}"/>
    <cellStyle name="Normal 2 3 7 5 3" xfId="11955" xr:uid="{00000000-0005-0000-0000-0000BB0A0000}"/>
    <cellStyle name="Normal 2 3 7 6" xfId="4591" xr:uid="{00000000-0005-0000-0000-0000BC0A0000}"/>
    <cellStyle name="Normal 2 3 7 6 2" xfId="9507" xr:uid="{00000000-0005-0000-0000-0000BD0A0000}"/>
    <cellStyle name="Normal 2 3 7 7" xfId="8264" xr:uid="{00000000-0005-0000-0000-0000BE0A0000}"/>
    <cellStyle name="Normal 2 3 8" xfId="593" xr:uid="{00000000-0005-0000-0000-0000BF0A0000}"/>
    <cellStyle name="Normal 2 3 8 2" xfId="943" xr:uid="{00000000-0005-0000-0000-0000C00A0000}"/>
    <cellStyle name="Normal 2 3 8 2 2" xfId="1557" xr:uid="{00000000-0005-0000-0000-0000C10A0000}"/>
    <cellStyle name="Normal 2 3 8 2 2 2" xfId="2783" xr:uid="{00000000-0005-0000-0000-0000C20A0000}"/>
    <cellStyle name="Normal 2 3 8 2 2 2 2" xfId="6643" xr:uid="{00000000-0005-0000-0000-0000C30A0000}"/>
    <cellStyle name="Normal 2 3 8 2 2 2 3" xfId="11595" xr:uid="{00000000-0005-0000-0000-0000C40A0000}"/>
    <cellStyle name="Normal 2 3 8 2 2 3" xfId="4011" xr:uid="{00000000-0005-0000-0000-0000C50A0000}"/>
    <cellStyle name="Normal 2 3 8 2 2 3 2" xfId="7867" xr:uid="{00000000-0005-0000-0000-0000C60A0000}"/>
    <cellStyle name="Normal 2 3 8 2 2 3 3" xfId="10353" xr:uid="{00000000-0005-0000-0000-0000C70A0000}"/>
    <cellStyle name="Normal 2 3 8 2 2 4" xfId="5419" xr:uid="{00000000-0005-0000-0000-0000C80A0000}"/>
    <cellStyle name="Normal 2 3 8 2 2 5" xfId="9111" xr:uid="{00000000-0005-0000-0000-0000C90A0000}"/>
    <cellStyle name="Normal 2 3 8 2 3" xfId="2171" xr:uid="{00000000-0005-0000-0000-0000CA0A0000}"/>
    <cellStyle name="Normal 2 3 8 2 3 2" xfId="6031" xr:uid="{00000000-0005-0000-0000-0000CB0A0000}"/>
    <cellStyle name="Normal 2 3 8 2 3 3" xfId="10947" xr:uid="{00000000-0005-0000-0000-0000CC0A0000}"/>
    <cellStyle name="Normal 2 3 8 2 4" xfId="3399" xr:uid="{00000000-0005-0000-0000-0000CD0A0000}"/>
    <cellStyle name="Normal 2 3 8 2 4 2" xfId="7255" xr:uid="{00000000-0005-0000-0000-0000CE0A0000}"/>
    <cellStyle name="Normal 2 3 8 2 4 3" xfId="9705" xr:uid="{00000000-0005-0000-0000-0000CF0A0000}"/>
    <cellStyle name="Normal 2 3 8 2 5" xfId="4807" xr:uid="{00000000-0005-0000-0000-0000D00A0000}"/>
    <cellStyle name="Normal 2 3 8 2 6" xfId="8462" xr:uid="{00000000-0005-0000-0000-0000D10A0000}"/>
    <cellStyle name="Normal 2 3 8 3" xfId="1251" xr:uid="{00000000-0005-0000-0000-0000D20A0000}"/>
    <cellStyle name="Normal 2 3 8 3 2" xfId="2477" xr:uid="{00000000-0005-0000-0000-0000D30A0000}"/>
    <cellStyle name="Normal 2 3 8 3 2 2" xfId="6337" xr:uid="{00000000-0005-0000-0000-0000D40A0000}"/>
    <cellStyle name="Normal 2 3 8 3 2 3" xfId="11289" xr:uid="{00000000-0005-0000-0000-0000D50A0000}"/>
    <cellStyle name="Normal 2 3 8 3 3" xfId="3705" xr:uid="{00000000-0005-0000-0000-0000D60A0000}"/>
    <cellStyle name="Normal 2 3 8 3 3 2" xfId="7561" xr:uid="{00000000-0005-0000-0000-0000D70A0000}"/>
    <cellStyle name="Normal 2 3 8 3 3 3" xfId="10047" xr:uid="{00000000-0005-0000-0000-0000D80A0000}"/>
    <cellStyle name="Normal 2 3 8 3 4" xfId="5113" xr:uid="{00000000-0005-0000-0000-0000D90A0000}"/>
    <cellStyle name="Normal 2 3 8 3 5" xfId="8805" xr:uid="{00000000-0005-0000-0000-0000DA0A0000}"/>
    <cellStyle name="Normal 2 3 8 4" xfId="1865" xr:uid="{00000000-0005-0000-0000-0000DB0A0000}"/>
    <cellStyle name="Normal 2 3 8 4 2" xfId="5725" xr:uid="{00000000-0005-0000-0000-0000DC0A0000}"/>
    <cellStyle name="Normal 2 3 8 4 3" xfId="10659" xr:uid="{00000000-0005-0000-0000-0000DD0A0000}"/>
    <cellStyle name="Normal 2 3 8 5" xfId="3092" xr:uid="{00000000-0005-0000-0000-0000DE0A0000}"/>
    <cellStyle name="Normal 2 3 8 5 2" xfId="6949" xr:uid="{00000000-0005-0000-0000-0000DF0A0000}"/>
    <cellStyle name="Normal 2 3 8 5 3" xfId="11865" xr:uid="{00000000-0005-0000-0000-0000E00A0000}"/>
    <cellStyle name="Normal 2 3 8 6" xfId="4501" xr:uid="{00000000-0005-0000-0000-0000E10A0000}"/>
    <cellStyle name="Normal 2 3 8 6 2" xfId="9417" xr:uid="{00000000-0005-0000-0000-0000E20A0000}"/>
    <cellStyle name="Normal 2 3 8 7" xfId="8174" xr:uid="{00000000-0005-0000-0000-0000E30A0000}"/>
    <cellStyle name="Normal 2 3 9" xfId="479" xr:uid="{00000000-0005-0000-0000-0000E40A0000}"/>
    <cellStyle name="Normal 2 3 9 2" xfId="829" xr:uid="{00000000-0005-0000-0000-0000E50A0000}"/>
    <cellStyle name="Normal 2 3 9 2 2" xfId="1467" xr:uid="{00000000-0005-0000-0000-0000E60A0000}"/>
    <cellStyle name="Normal 2 3 9 2 2 2" xfId="2693" xr:uid="{00000000-0005-0000-0000-0000E70A0000}"/>
    <cellStyle name="Normal 2 3 9 2 2 2 2" xfId="6553" xr:uid="{00000000-0005-0000-0000-0000E80A0000}"/>
    <cellStyle name="Normal 2 3 9 2 2 2 3" xfId="11505" xr:uid="{00000000-0005-0000-0000-0000E90A0000}"/>
    <cellStyle name="Normal 2 3 9 2 2 3" xfId="3921" xr:uid="{00000000-0005-0000-0000-0000EA0A0000}"/>
    <cellStyle name="Normal 2 3 9 2 2 3 2" xfId="7777" xr:uid="{00000000-0005-0000-0000-0000EB0A0000}"/>
    <cellStyle name="Normal 2 3 9 2 2 3 3" xfId="10263" xr:uid="{00000000-0005-0000-0000-0000EC0A0000}"/>
    <cellStyle name="Normal 2 3 9 2 2 4" xfId="5329" xr:uid="{00000000-0005-0000-0000-0000ED0A0000}"/>
    <cellStyle name="Normal 2 3 9 2 2 5" xfId="9021" xr:uid="{00000000-0005-0000-0000-0000EE0A0000}"/>
    <cellStyle name="Normal 2 3 9 2 3" xfId="2081" xr:uid="{00000000-0005-0000-0000-0000EF0A0000}"/>
    <cellStyle name="Normal 2 3 9 2 3 2" xfId="5941" xr:uid="{00000000-0005-0000-0000-0000F00A0000}"/>
    <cellStyle name="Normal 2 3 9 2 3 3" xfId="10857" xr:uid="{00000000-0005-0000-0000-0000F10A0000}"/>
    <cellStyle name="Normal 2 3 9 2 4" xfId="3309" xr:uid="{00000000-0005-0000-0000-0000F20A0000}"/>
    <cellStyle name="Normal 2 3 9 2 4 2" xfId="7165" xr:uid="{00000000-0005-0000-0000-0000F30A0000}"/>
    <cellStyle name="Normal 2 3 9 2 4 3" xfId="9615" xr:uid="{00000000-0005-0000-0000-0000F40A0000}"/>
    <cellStyle name="Normal 2 3 9 2 5" xfId="4717" xr:uid="{00000000-0005-0000-0000-0000F50A0000}"/>
    <cellStyle name="Normal 2 3 9 2 6" xfId="8372" xr:uid="{00000000-0005-0000-0000-0000F60A0000}"/>
    <cellStyle name="Normal 2 3 9 3" xfId="1161" xr:uid="{00000000-0005-0000-0000-0000F70A0000}"/>
    <cellStyle name="Normal 2 3 9 3 2" xfId="2387" xr:uid="{00000000-0005-0000-0000-0000F80A0000}"/>
    <cellStyle name="Normal 2 3 9 3 2 2" xfId="6247" xr:uid="{00000000-0005-0000-0000-0000F90A0000}"/>
    <cellStyle name="Normal 2 3 9 3 2 3" xfId="11199" xr:uid="{00000000-0005-0000-0000-0000FA0A0000}"/>
    <cellStyle name="Normal 2 3 9 3 3" xfId="3615" xr:uid="{00000000-0005-0000-0000-0000FB0A0000}"/>
    <cellStyle name="Normal 2 3 9 3 3 2" xfId="7471" xr:uid="{00000000-0005-0000-0000-0000FC0A0000}"/>
    <cellStyle name="Normal 2 3 9 3 3 3" xfId="9957" xr:uid="{00000000-0005-0000-0000-0000FD0A0000}"/>
    <cellStyle name="Normal 2 3 9 3 4" xfId="5023" xr:uid="{00000000-0005-0000-0000-0000FE0A0000}"/>
    <cellStyle name="Normal 2 3 9 3 5" xfId="8715" xr:uid="{00000000-0005-0000-0000-0000FF0A0000}"/>
    <cellStyle name="Normal 2 3 9 4" xfId="1775" xr:uid="{00000000-0005-0000-0000-0000000B0000}"/>
    <cellStyle name="Normal 2 3 9 4 2" xfId="5635" xr:uid="{00000000-0005-0000-0000-0000010B0000}"/>
    <cellStyle name="Normal 2 3 9 4 3" xfId="10569" xr:uid="{00000000-0005-0000-0000-0000020B0000}"/>
    <cellStyle name="Normal 2 3 9 5" xfId="3002" xr:uid="{00000000-0005-0000-0000-0000030B0000}"/>
    <cellStyle name="Normal 2 3 9 5 2" xfId="6859" xr:uid="{00000000-0005-0000-0000-0000040B0000}"/>
    <cellStyle name="Normal 2 3 9 5 3" xfId="12045" xr:uid="{00000000-0005-0000-0000-0000050B0000}"/>
    <cellStyle name="Normal 2 3 9 6" xfId="4411" xr:uid="{00000000-0005-0000-0000-0000060B0000}"/>
    <cellStyle name="Normal 2 3 9 6 2" xfId="9327" xr:uid="{00000000-0005-0000-0000-0000070B0000}"/>
    <cellStyle name="Normal 2 3 9 7" xfId="8084" xr:uid="{00000000-0005-0000-0000-0000080B0000}"/>
    <cellStyle name="Normal 2 30" xfId="167" xr:uid="{00000000-0005-0000-0000-0000090B0000}"/>
    <cellStyle name="Normal 2 30 2" xfId="4250" xr:uid="{00000000-0005-0000-0000-00000A0B0000}"/>
    <cellStyle name="Normal 2 31" xfId="168" xr:uid="{00000000-0005-0000-0000-00000B0B0000}"/>
    <cellStyle name="Normal 2 31 2" xfId="4251" xr:uid="{00000000-0005-0000-0000-00000C0B0000}"/>
    <cellStyle name="Normal 2 32" xfId="169" xr:uid="{00000000-0005-0000-0000-00000D0B0000}"/>
    <cellStyle name="Normal 2 32 2" xfId="4252" xr:uid="{00000000-0005-0000-0000-00000E0B0000}"/>
    <cellStyle name="Normal 2 33" xfId="170" xr:uid="{00000000-0005-0000-0000-00000F0B0000}"/>
    <cellStyle name="Normal 2 33 2" xfId="4253" xr:uid="{00000000-0005-0000-0000-0000100B0000}"/>
    <cellStyle name="Normal 2 34" xfId="171" xr:uid="{00000000-0005-0000-0000-0000110B0000}"/>
    <cellStyle name="Normal 2 34 2" xfId="4254" xr:uid="{00000000-0005-0000-0000-0000120B0000}"/>
    <cellStyle name="Normal 2 35" xfId="172" xr:uid="{00000000-0005-0000-0000-0000130B0000}"/>
    <cellStyle name="Normal 2 35 2" xfId="4255" xr:uid="{00000000-0005-0000-0000-0000140B0000}"/>
    <cellStyle name="Normal 2 36" xfId="173" xr:uid="{00000000-0005-0000-0000-0000150B0000}"/>
    <cellStyle name="Normal 2 36 2" xfId="4256" xr:uid="{00000000-0005-0000-0000-0000160B0000}"/>
    <cellStyle name="Normal 2 37" xfId="174" xr:uid="{00000000-0005-0000-0000-0000170B0000}"/>
    <cellStyle name="Normal 2 37 2" xfId="4257" xr:uid="{00000000-0005-0000-0000-0000180B0000}"/>
    <cellStyle name="Normal 2 38" xfId="175" xr:uid="{00000000-0005-0000-0000-0000190B0000}"/>
    <cellStyle name="Normal 2 38 2" xfId="4258" xr:uid="{00000000-0005-0000-0000-00001A0B0000}"/>
    <cellStyle name="Normal 2 39" xfId="176" xr:uid="{00000000-0005-0000-0000-00001B0B0000}"/>
    <cellStyle name="Normal 2 39 2" xfId="4259" xr:uid="{00000000-0005-0000-0000-00001C0B0000}"/>
    <cellStyle name="Normal 2 4" xfId="177" xr:uid="{00000000-0005-0000-0000-00001D0B0000}"/>
    <cellStyle name="Normal 2 4 10" xfId="1129" xr:uid="{00000000-0005-0000-0000-00001E0B0000}"/>
    <cellStyle name="Normal 2 4 10 2" xfId="2355" xr:uid="{00000000-0005-0000-0000-00001F0B0000}"/>
    <cellStyle name="Normal 2 4 10 2 2" xfId="6215" xr:uid="{00000000-0005-0000-0000-0000200B0000}"/>
    <cellStyle name="Normal 2 4 10 2 3" xfId="11167" xr:uid="{00000000-0005-0000-0000-0000210B0000}"/>
    <cellStyle name="Normal 2 4 10 3" xfId="3583" xr:uid="{00000000-0005-0000-0000-0000220B0000}"/>
    <cellStyle name="Normal 2 4 10 3 2" xfId="7439" xr:uid="{00000000-0005-0000-0000-0000230B0000}"/>
    <cellStyle name="Normal 2 4 10 3 3" xfId="9925" xr:uid="{00000000-0005-0000-0000-0000240B0000}"/>
    <cellStyle name="Normal 2 4 10 4" xfId="4991" xr:uid="{00000000-0005-0000-0000-0000250B0000}"/>
    <cellStyle name="Normal 2 4 10 5" xfId="8683" xr:uid="{00000000-0005-0000-0000-0000260B0000}"/>
    <cellStyle name="Normal 2 4 11" xfId="444" xr:uid="{00000000-0005-0000-0000-0000270B0000}"/>
    <cellStyle name="Normal 2 4 11 2" xfId="4379" xr:uid="{00000000-0005-0000-0000-0000280B0000}"/>
    <cellStyle name="Normal 2 4 11 3" xfId="10537" xr:uid="{00000000-0005-0000-0000-0000290B0000}"/>
    <cellStyle name="Normal 2 4 12" xfId="1743" xr:uid="{00000000-0005-0000-0000-00002A0B0000}"/>
    <cellStyle name="Normal 2 4 12 2" xfId="5603" xr:uid="{00000000-0005-0000-0000-00002B0B0000}"/>
    <cellStyle name="Normal 2 4 12 3" xfId="11779" xr:uid="{00000000-0005-0000-0000-00002C0B0000}"/>
    <cellStyle name="Normal 2 4 13" xfId="2970" xr:uid="{00000000-0005-0000-0000-00002D0B0000}"/>
    <cellStyle name="Normal 2 4 13 2" xfId="6827" xr:uid="{00000000-0005-0000-0000-00002E0B0000}"/>
    <cellStyle name="Normal 2 4 13 3" xfId="9295" xr:uid="{00000000-0005-0000-0000-00002F0B0000}"/>
    <cellStyle name="Normal 2 4 14" xfId="8052" xr:uid="{00000000-0005-0000-0000-0000300B0000}"/>
    <cellStyle name="Normal 2 4 2" xfId="178" xr:uid="{00000000-0005-0000-0000-0000310B0000}"/>
    <cellStyle name="Normal 2 4 2 10" xfId="445" xr:uid="{00000000-0005-0000-0000-0000320B0000}"/>
    <cellStyle name="Normal 2 4 2 10 2" xfId="4380" xr:uid="{00000000-0005-0000-0000-0000330B0000}"/>
    <cellStyle name="Normal 2 4 2 10 3" xfId="10538" xr:uid="{00000000-0005-0000-0000-0000340B0000}"/>
    <cellStyle name="Normal 2 4 2 11" xfId="1744" xr:uid="{00000000-0005-0000-0000-0000350B0000}"/>
    <cellStyle name="Normal 2 4 2 11 2" xfId="5604" xr:uid="{00000000-0005-0000-0000-0000360B0000}"/>
    <cellStyle name="Normal 2 4 2 11 3" xfId="11780" xr:uid="{00000000-0005-0000-0000-0000370B0000}"/>
    <cellStyle name="Normal 2 4 2 12" xfId="2971" xr:uid="{00000000-0005-0000-0000-0000380B0000}"/>
    <cellStyle name="Normal 2 4 2 12 2" xfId="6828" xr:uid="{00000000-0005-0000-0000-0000390B0000}"/>
    <cellStyle name="Normal 2 4 2 12 3" xfId="9296" xr:uid="{00000000-0005-0000-0000-00003A0B0000}"/>
    <cellStyle name="Normal 2 4 2 13" xfId="4260" xr:uid="{00000000-0005-0000-0000-00003B0B0000}"/>
    <cellStyle name="Normal 2 4 2 14" xfId="8053" xr:uid="{00000000-0005-0000-0000-00003C0B0000}"/>
    <cellStyle name="Normal 2 4 2 2" xfId="466" xr:uid="{00000000-0005-0000-0000-00003D0B0000}"/>
    <cellStyle name="Normal 2 4 2 2 10" xfId="4398" xr:uid="{00000000-0005-0000-0000-00003E0B0000}"/>
    <cellStyle name="Normal 2 4 2 2 10 2" xfId="9314" xr:uid="{00000000-0005-0000-0000-00003F0B0000}"/>
    <cellStyle name="Normal 2 4 2 2 11" xfId="8071" xr:uid="{00000000-0005-0000-0000-0000400B0000}"/>
    <cellStyle name="Normal 2 4 2 2 2" xfId="579" xr:uid="{00000000-0005-0000-0000-0000410B0000}"/>
    <cellStyle name="Normal 2 4 2 2 2 2" xfId="760" xr:uid="{00000000-0005-0000-0000-0000420B0000}"/>
    <cellStyle name="Normal 2 4 2 2 2 2 2" xfId="1110" xr:uid="{00000000-0005-0000-0000-0000430B0000}"/>
    <cellStyle name="Normal 2 4 2 2 2 2 2 2" xfId="1724" xr:uid="{00000000-0005-0000-0000-0000440B0000}"/>
    <cellStyle name="Normal 2 4 2 2 2 2 2 2 2" xfId="2950" xr:uid="{00000000-0005-0000-0000-0000450B0000}"/>
    <cellStyle name="Normal 2 4 2 2 2 2 2 2 2 2" xfId="6810" xr:uid="{00000000-0005-0000-0000-0000460B0000}"/>
    <cellStyle name="Normal 2 4 2 2 2 2 2 2 2 3" xfId="11762" xr:uid="{00000000-0005-0000-0000-0000470B0000}"/>
    <cellStyle name="Normal 2 4 2 2 2 2 2 2 3" xfId="4178" xr:uid="{00000000-0005-0000-0000-0000480B0000}"/>
    <cellStyle name="Normal 2 4 2 2 2 2 2 2 3 2" xfId="8034" xr:uid="{00000000-0005-0000-0000-0000490B0000}"/>
    <cellStyle name="Normal 2 4 2 2 2 2 2 2 3 3" xfId="10520" xr:uid="{00000000-0005-0000-0000-00004A0B0000}"/>
    <cellStyle name="Normal 2 4 2 2 2 2 2 2 4" xfId="5586" xr:uid="{00000000-0005-0000-0000-00004B0B0000}"/>
    <cellStyle name="Normal 2 4 2 2 2 2 2 2 5" xfId="9278" xr:uid="{00000000-0005-0000-0000-00004C0B0000}"/>
    <cellStyle name="Normal 2 4 2 2 2 2 2 3" xfId="2338" xr:uid="{00000000-0005-0000-0000-00004D0B0000}"/>
    <cellStyle name="Normal 2 4 2 2 2 2 2 3 2" xfId="6198" xr:uid="{00000000-0005-0000-0000-00004E0B0000}"/>
    <cellStyle name="Normal 2 4 2 2 2 2 2 3 3" xfId="11114" xr:uid="{00000000-0005-0000-0000-00004F0B0000}"/>
    <cellStyle name="Normal 2 4 2 2 2 2 2 4" xfId="3566" xr:uid="{00000000-0005-0000-0000-0000500B0000}"/>
    <cellStyle name="Normal 2 4 2 2 2 2 2 4 2" xfId="7422" xr:uid="{00000000-0005-0000-0000-0000510B0000}"/>
    <cellStyle name="Normal 2 4 2 2 2 2 2 4 3" xfId="9872" xr:uid="{00000000-0005-0000-0000-0000520B0000}"/>
    <cellStyle name="Normal 2 4 2 2 2 2 2 5" xfId="4974" xr:uid="{00000000-0005-0000-0000-0000530B0000}"/>
    <cellStyle name="Normal 2 4 2 2 2 2 2 6" xfId="8629" xr:uid="{00000000-0005-0000-0000-0000540B0000}"/>
    <cellStyle name="Normal 2 4 2 2 2 2 3" xfId="1418" xr:uid="{00000000-0005-0000-0000-0000550B0000}"/>
    <cellStyle name="Normal 2 4 2 2 2 2 3 2" xfId="2644" xr:uid="{00000000-0005-0000-0000-0000560B0000}"/>
    <cellStyle name="Normal 2 4 2 2 2 2 3 2 2" xfId="6504" xr:uid="{00000000-0005-0000-0000-0000570B0000}"/>
    <cellStyle name="Normal 2 4 2 2 2 2 3 2 3" xfId="11456" xr:uid="{00000000-0005-0000-0000-0000580B0000}"/>
    <cellStyle name="Normal 2 4 2 2 2 2 3 3" xfId="3872" xr:uid="{00000000-0005-0000-0000-0000590B0000}"/>
    <cellStyle name="Normal 2 4 2 2 2 2 3 3 2" xfId="7728" xr:uid="{00000000-0005-0000-0000-00005A0B0000}"/>
    <cellStyle name="Normal 2 4 2 2 2 2 3 3 3" xfId="10214" xr:uid="{00000000-0005-0000-0000-00005B0B0000}"/>
    <cellStyle name="Normal 2 4 2 2 2 2 3 4" xfId="5280" xr:uid="{00000000-0005-0000-0000-00005C0B0000}"/>
    <cellStyle name="Normal 2 4 2 2 2 2 3 5" xfId="8972" xr:uid="{00000000-0005-0000-0000-00005D0B0000}"/>
    <cellStyle name="Normal 2 4 2 2 2 2 4" xfId="2032" xr:uid="{00000000-0005-0000-0000-00005E0B0000}"/>
    <cellStyle name="Normal 2 4 2 2 2 2 4 2" xfId="5892" xr:uid="{00000000-0005-0000-0000-00005F0B0000}"/>
    <cellStyle name="Normal 2 4 2 2 2 2 4 3" xfId="10826" xr:uid="{00000000-0005-0000-0000-0000600B0000}"/>
    <cellStyle name="Normal 2 4 2 2 2 2 5" xfId="3259" xr:uid="{00000000-0005-0000-0000-0000610B0000}"/>
    <cellStyle name="Normal 2 4 2 2 2 2 5 2" xfId="7116" xr:uid="{00000000-0005-0000-0000-0000620B0000}"/>
    <cellStyle name="Normal 2 4 2 2 2 2 5 3" xfId="12032" xr:uid="{00000000-0005-0000-0000-0000630B0000}"/>
    <cellStyle name="Normal 2 4 2 2 2 2 6" xfId="4668" xr:uid="{00000000-0005-0000-0000-0000640B0000}"/>
    <cellStyle name="Normal 2 4 2 2 2 2 6 2" xfId="9584" xr:uid="{00000000-0005-0000-0000-0000650B0000}"/>
    <cellStyle name="Normal 2 4 2 2 2 2 7" xfId="8341" xr:uid="{00000000-0005-0000-0000-0000660B0000}"/>
    <cellStyle name="Normal 2 4 2 2 2 3" xfId="670" xr:uid="{00000000-0005-0000-0000-0000670B0000}"/>
    <cellStyle name="Normal 2 4 2 2 2 3 2" xfId="1020" xr:uid="{00000000-0005-0000-0000-0000680B0000}"/>
    <cellStyle name="Normal 2 4 2 2 2 3 2 2" xfId="1634" xr:uid="{00000000-0005-0000-0000-0000690B0000}"/>
    <cellStyle name="Normal 2 4 2 2 2 3 2 2 2" xfId="2860" xr:uid="{00000000-0005-0000-0000-00006A0B0000}"/>
    <cellStyle name="Normal 2 4 2 2 2 3 2 2 2 2" xfId="6720" xr:uid="{00000000-0005-0000-0000-00006B0B0000}"/>
    <cellStyle name="Normal 2 4 2 2 2 3 2 2 2 3" xfId="11672" xr:uid="{00000000-0005-0000-0000-00006C0B0000}"/>
    <cellStyle name="Normal 2 4 2 2 2 3 2 2 3" xfId="4088" xr:uid="{00000000-0005-0000-0000-00006D0B0000}"/>
    <cellStyle name="Normal 2 4 2 2 2 3 2 2 3 2" xfId="7944" xr:uid="{00000000-0005-0000-0000-00006E0B0000}"/>
    <cellStyle name="Normal 2 4 2 2 2 3 2 2 3 3" xfId="10430" xr:uid="{00000000-0005-0000-0000-00006F0B0000}"/>
    <cellStyle name="Normal 2 4 2 2 2 3 2 2 4" xfId="5496" xr:uid="{00000000-0005-0000-0000-0000700B0000}"/>
    <cellStyle name="Normal 2 4 2 2 2 3 2 2 5" xfId="9188" xr:uid="{00000000-0005-0000-0000-0000710B0000}"/>
    <cellStyle name="Normal 2 4 2 2 2 3 2 3" xfId="2248" xr:uid="{00000000-0005-0000-0000-0000720B0000}"/>
    <cellStyle name="Normal 2 4 2 2 2 3 2 3 2" xfId="6108" xr:uid="{00000000-0005-0000-0000-0000730B0000}"/>
    <cellStyle name="Normal 2 4 2 2 2 3 2 3 3" xfId="11024" xr:uid="{00000000-0005-0000-0000-0000740B0000}"/>
    <cellStyle name="Normal 2 4 2 2 2 3 2 4" xfId="3476" xr:uid="{00000000-0005-0000-0000-0000750B0000}"/>
    <cellStyle name="Normal 2 4 2 2 2 3 2 4 2" xfId="7332" xr:uid="{00000000-0005-0000-0000-0000760B0000}"/>
    <cellStyle name="Normal 2 4 2 2 2 3 2 4 3" xfId="9782" xr:uid="{00000000-0005-0000-0000-0000770B0000}"/>
    <cellStyle name="Normal 2 4 2 2 2 3 2 5" xfId="4884" xr:uid="{00000000-0005-0000-0000-0000780B0000}"/>
    <cellStyle name="Normal 2 4 2 2 2 3 2 6" xfId="8539" xr:uid="{00000000-0005-0000-0000-0000790B0000}"/>
    <cellStyle name="Normal 2 4 2 2 2 3 3" xfId="1328" xr:uid="{00000000-0005-0000-0000-00007A0B0000}"/>
    <cellStyle name="Normal 2 4 2 2 2 3 3 2" xfId="2554" xr:uid="{00000000-0005-0000-0000-00007B0B0000}"/>
    <cellStyle name="Normal 2 4 2 2 2 3 3 2 2" xfId="6414" xr:uid="{00000000-0005-0000-0000-00007C0B0000}"/>
    <cellStyle name="Normal 2 4 2 2 2 3 3 2 3" xfId="11366" xr:uid="{00000000-0005-0000-0000-00007D0B0000}"/>
    <cellStyle name="Normal 2 4 2 2 2 3 3 3" xfId="3782" xr:uid="{00000000-0005-0000-0000-00007E0B0000}"/>
    <cellStyle name="Normal 2 4 2 2 2 3 3 3 2" xfId="7638" xr:uid="{00000000-0005-0000-0000-00007F0B0000}"/>
    <cellStyle name="Normal 2 4 2 2 2 3 3 3 3" xfId="10124" xr:uid="{00000000-0005-0000-0000-0000800B0000}"/>
    <cellStyle name="Normal 2 4 2 2 2 3 3 4" xfId="5190" xr:uid="{00000000-0005-0000-0000-0000810B0000}"/>
    <cellStyle name="Normal 2 4 2 2 2 3 3 5" xfId="8882" xr:uid="{00000000-0005-0000-0000-0000820B0000}"/>
    <cellStyle name="Normal 2 4 2 2 2 3 4" xfId="1942" xr:uid="{00000000-0005-0000-0000-0000830B0000}"/>
    <cellStyle name="Normal 2 4 2 2 2 3 4 2" xfId="5802" xr:uid="{00000000-0005-0000-0000-0000840B0000}"/>
    <cellStyle name="Normal 2 4 2 2 2 3 4 3" xfId="10736" xr:uid="{00000000-0005-0000-0000-0000850B0000}"/>
    <cellStyle name="Normal 2 4 2 2 2 3 5" xfId="3169" xr:uid="{00000000-0005-0000-0000-0000860B0000}"/>
    <cellStyle name="Normal 2 4 2 2 2 3 5 2" xfId="7026" xr:uid="{00000000-0005-0000-0000-0000870B0000}"/>
    <cellStyle name="Normal 2 4 2 2 2 3 5 3" xfId="11942" xr:uid="{00000000-0005-0000-0000-0000880B0000}"/>
    <cellStyle name="Normal 2 4 2 2 2 3 6" xfId="4578" xr:uid="{00000000-0005-0000-0000-0000890B0000}"/>
    <cellStyle name="Normal 2 4 2 2 2 3 6 2" xfId="9494" xr:uid="{00000000-0005-0000-0000-00008A0B0000}"/>
    <cellStyle name="Normal 2 4 2 2 2 3 7" xfId="8251" xr:uid="{00000000-0005-0000-0000-00008B0B0000}"/>
    <cellStyle name="Normal 2 4 2 2 2 4" xfId="929" xr:uid="{00000000-0005-0000-0000-00008C0B0000}"/>
    <cellStyle name="Normal 2 4 2 2 2 4 2" xfId="1544" xr:uid="{00000000-0005-0000-0000-00008D0B0000}"/>
    <cellStyle name="Normal 2 4 2 2 2 4 2 2" xfId="2770" xr:uid="{00000000-0005-0000-0000-00008E0B0000}"/>
    <cellStyle name="Normal 2 4 2 2 2 4 2 2 2" xfId="6630" xr:uid="{00000000-0005-0000-0000-00008F0B0000}"/>
    <cellStyle name="Normal 2 4 2 2 2 4 2 2 3" xfId="11582" xr:uid="{00000000-0005-0000-0000-0000900B0000}"/>
    <cellStyle name="Normal 2 4 2 2 2 4 2 3" xfId="3998" xr:uid="{00000000-0005-0000-0000-0000910B0000}"/>
    <cellStyle name="Normal 2 4 2 2 2 4 2 3 2" xfId="7854" xr:uid="{00000000-0005-0000-0000-0000920B0000}"/>
    <cellStyle name="Normal 2 4 2 2 2 4 2 3 3" xfId="10340" xr:uid="{00000000-0005-0000-0000-0000930B0000}"/>
    <cellStyle name="Normal 2 4 2 2 2 4 2 4" xfId="5406" xr:uid="{00000000-0005-0000-0000-0000940B0000}"/>
    <cellStyle name="Normal 2 4 2 2 2 4 2 5" xfId="9098" xr:uid="{00000000-0005-0000-0000-0000950B0000}"/>
    <cellStyle name="Normal 2 4 2 2 2 4 3" xfId="2158" xr:uid="{00000000-0005-0000-0000-0000960B0000}"/>
    <cellStyle name="Normal 2 4 2 2 2 4 3 2" xfId="6018" xr:uid="{00000000-0005-0000-0000-0000970B0000}"/>
    <cellStyle name="Normal 2 4 2 2 2 4 3 3" xfId="10934" xr:uid="{00000000-0005-0000-0000-0000980B0000}"/>
    <cellStyle name="Normal 2 4 2 2 2 4 4" xfId="3386" xr:uid="{00000000-0005-0000-0000-0000990B0000}"/>
    <cellStyle name="Normal 2 4 2 2 2 4 4 2" xfId="7242" xr:uid="{00000000-0005-0000-0000-00009A0B0000}"/>
    <cellStyle name="Normal 2 4 2 2 2 4 4 3" xfId="9692" xr:uid="{00000000-0005-0000-0000-00009B0B0000}"/>
    <cellStyle name="Normal 2 4 2 2 2 4 5" xfId="4794" xr:uid="{00000000-0005-0000-0000-00009C0B0000}"/>
    <cellStyle name="Normal 2 4 2 2 2 4 6" xfId="8449" xr:uid="{00000000-0005-0000-0000-00009D0B0000}"/>
    <cellStyle name="Normal 2 4 2 2 2 5" xfId="1238" xr:uid="{00000000-0005-0000-0000-00009E0B0000}"/>
    <cellStyle name="Normal 2 4 2 2 2 5 2" xfId="2464" xr:uid="{00000000-0005-0000-0000-00009F0B0000}"/>
    <cellStyle name="Normal 2 4 2 2 2 5 2 2" xfId="6324" xr:uid="{00000000-0005-0000-0000-0000A00B0000}"/>
    <cellStyle name="Normal 2 4 2 2 2 5 2 3" xfId="11276" xr:uid="{00000000-0005-0000-0000-0000A10B0000}"/>
    <cellStyle name="Normal 2 4 2 2 2 5 3" xfId="3692" xr:uid="{00000000-0005-0000-0000-0000A20B0000}"/>
    <cellStyle name="Normal 2 4 2 2 2 5 3 2" xfId="7548" xr:uid="{00000000-0005-0000-0000-0000A30B0000}"/>
    <cellStyle name="Normal 2 4 2 2 2 5 3 3" xfId="10034" xr:uid="{00000000-0005-0000-0000-0000A40B0000}"/>
    <cellStyle name="Normal 2 4 2 2 2 5 4" xfId="5100" xr:uid="{00000000-0005-0000-0000-0000A50B0000}"/>
    <cellStyle name="Normal 2 4 2 2 2 5 5" xfId="8792" xr:uid="{00000000-0005-0000-0000-0000A60B0000}"/>
    <cellStyle name="Normal 2 4 2 2 2 6" xfId="1852" xr:uid="{00000000-0005-0000-0000-0000A70B0000}"/>
    <cellStyle name="Normal 2 4 2 2 2 6 2" xfId="5712" xr:uid="{00000000-0005-0000-0000-0000A80B0000}"/>
    <cellStyle name="Normal 2 4 2 2 2 6 3" xfId="10646" xr:uid="{00000000-0005-0000-0000-0000A90B0000}"/>
    <cellStyle name="Normal 2 4 2 2 2 7" xfId="3079" xr:uid="{00000000-0005-0000-0000-0000AA0B0000}"/>
    <cellStyle name="Normal 2 4 2 2 2 7 2" xfId="6936" xr:uid="{00000000-0005-0000-0000-0000AB0B0000}"/>
    <cellStyle name="Normal 2 4 2 2 2 7 3" xfId="11852" xr:uid="{00000000-0005-0000-0000-0000AC0B0000}"/>
    <cellStyle name="Normal 2 4 2 2 2 8" xfId="4488" xr:uid="{00000000-0005-0000-0000-0000AD0B0000}"/>
    <cellStyle name="Normal 2 4 2 2 2 8 2" xfId="9404" xr:uid="{00000000-0005-0000-0000-0000AE0B0000}"/>
    <cellStyle name="Normal 2 4 2 2 2 9" xfId="8161" xr:uid="{00000000-0005-0000-0000-0000AF0B0000}"/>
    <cellStyle name="Normal 2 4 2 2 3" xfId="724" xr:uid="{00000000-0005-0000-0000-0000B00B0000}"/>
    <cellStyle name="Normal 2 4 2 2 3 2" xfId="1074" xr:uid="{00000000-0005-0000-0000-0000B10B0000}"/>
    <cellStyle name="Normal 2 4 2 2 3 2 2" xfId="1688" xr:uid="{00000000-0005-0000-0000-0000B20B0000}"/>
    <cellStyle name="Normal 2 4 2 2 3 2 2 2" xfId="2914" xr:uid="{00000000-0005-0000-0000-0000B30B0000}"/>
    <cellStyle name="Normal 2 4 2 2 3 2 2 2 2" xfId="6774" xr:uid="{00000000-0005-0000-0000-0000B40B0000}"/>
    <cellStyle name="Normal 2 4 2 2 3 2 2 2 3" xfId="11726" xr:uid="{00000000-0005-0000-0000-0000B50B0000}"/>
    <cellStyle name="Normal 2 4 2 2 3 2 2 3" xfId="4142" xr:uid="{00000000-0005-0000-0000-0000B60B0000}"/>
    <cellStyle name="Normal 2 4 2 2 3 2 2 3 2" xfId="7998" xr:uid="{00000000-0005-0000-0000-0000B70B0000}"/>
    <cellStyle name="Normal 2 4 2 2 3 2 2 3 3" xfId="10484" xr:uid="{00000000-0005-0000-0000-0000B80B0000}"/>
    <cellStyle name="Normal 2 4 2 2 3 2 2 4" xfId="5550" xr:uid="{00000000-0005-0000-0000-0000B90B0000}"/>
    <cellStyle name="Normal 2 4 2 2 3 2 2 5" xfId="9242" xr:uid="{00000000-0005-0000-0000-0000BA0B0000}"/>
    <cellStyle name="Normal 2 4 2 2 3 2 3" xfId="2302" xr:uid="{00000000-0005-0000-0000-0000BB0B0000}"/>
    <cellStyle name="Normal 2 4 2 2 3 2 3 2" xfId="6162" xr:uid="{00000000-0005-0000-0000-0000BC0B0000}"/>
    <cellStyle name="Normal 2 4 2 2 3 2 3 3" xfId="11078" xr:uid="{00000000-0005-0000-0000-0000BD0B0000}"/>
    <cellStyle name="Normal 2 4 2 2 3 2 4" xfId="3530" xr:uid="{00000000-0005-0000-0000-0000BE0B0000}"/>
    <cellStyle name="Normal 2 4 2 2 3 2 4 2" xfId="7386" xr:uid="{00000000-0005-0000-0000-0000BF0B0000}"/>
    <cellStyle name="Normal 2 4 2 2 3 2 4 3" xfId="9836" xr:uid="{00000000-0005-0000-0000-0000C00B0000}"/>
    <cellStyle name="Normal 2 4 2 2 3 2 5" xfId="4938" xr:uid="{00000000-0005-0000-0000-0000C10B0000}"/>
    <cellStyle name="Normal 2 4 2 2 3 2 6" xfId="8593" xr:uid="{00000000-0005-0000-0000-0000C20B0000}"/>
    <cellStyle name="Normal 2 4 2 2 3 3" xfId="1382" xr:uid="{00000000-0005-0000-0000-0000C30B0000}"/>
    <cellStyle name="Normal 2 4 2 2 3 3 2" xfId="2608" xr:uid="{00000000-0005-0000-0000-0000C40B0000}"/>
    <cellStyle name="Normal 2 4 2 2 3 3 2 2" xfId="6468" xr:uid="{00000000-0005-0000-0000-0000C50B0000}"/>
    <cellStyle name="Normal 2 4 2 2 3 3 2 3" xfId="11420" xr:uid="{00000000-0005-0000-0000-0000C60B0000}"/>
    <cellStyle name="Normal 2 4 2 2 3 3 3" xfId="3836" xr:uid="{00000000-0005-0000-0000-0000C70B0000}"/>
    <cellStyle name="Normal 2 4 2 2 3 3 3 2" xfId="7692" xr:uid="{00000000-0005-0000-0000-0000C80B0000}"/>
    <cellStyle name="Normal 2 4 2 2 3 3 3 3" xfId="10178" xr:uid="{00000000-0005-0000-0000-0000C90B0000}"/>
    <cellStyle name="Normal 2 4 2 2 3 3 4" xfId="5244" xr:uid="{00000000-0005-0000-0000-0000CA0B0000}"/>
    <cellStyle name="Normal 2 4 2 2 3 3 5" xfId="8936" xr:uid="{00000000-0005-0000-0000-0000CB0B0000}"/>
    <cellStyle name="Normal 2 4 2 2 3 4" xfId="1996" xr:uid="{00000000-0005-0000-0000-0000CC0B0000}"/>
    <cellStyle name="Normal 2 4 2 2 3 4 2" xfId="5856" xr:uid="{00000000-0005-0000-0000-0000CD0B0000}"/>
    <cellStyle name="Normal 2 4 2 2 3 4 3" xfId="10790" xr:uid="{00000000-0005-0000-0000-0000CE0B0000}"/>
    <cellStyle name="Normal 2 4 2 2 3 5" xfId="3223" xr:uid="{00000000-0005-0000-0000-0000CF0B0000}"/>
    <cellStyle name="Normal 2 4 2 2 3 5 2" xfId="7080" xr:uid="{00000000-0005-0000-0000-0000D00B0000}"/>
    <cellStyle name="Normal 2 4 2 2 3 5 3" xfId="11996" xr:uid="{00000000-0005-0000-0000-0000D10B0000}"/>
    <cellStyle name="Normal 2 4 2 2 3 6" xfId="4632" xr:uid="{00000000-0005-0000-0000-0000D20B0000}"/>
    <cellStyle name="Normal 2 4 2 2 3 6 2" xfId="9548" xr:uid="{00000000-0005-0000-0000-0000D30B0000}"/>
    <cellStyle name="Normal 2 4 2 2 3 7" xfId="8305" xr:uid="{00000000-0005-0000-0000-0000D40B0000}"/>
    <cellStyle name="Normal 2 4 2 2 4" xfId="634" xr:uid="{00000000-0005-0000-0000-0000D50B0000}"/>
    <cellStyle name="Normal 2 4 2 2 4 2" xfId="984" xr:uid="{00000000-0005-0000-0000-0000D60B0000}"/>
    <cellStyle name="Normal 2 4 2 2 4 2 2" xfId="1598" xr:uid="{00000000-0005-0000-0000-0000D70B0000}"/>
    <cellStyle name="Normal 2 4 2 2 4 2 2 2" xfId="2824" xr:uid="{00000000-0005-0000-0000-0000D80B0000}"/>
    <cellStyle name="Normal 2 4 2 2 4 2 2 2 2" xfId="6684" xr:uid="{00000000-0005-0000-0000-0000D90B0000}"/>
    <cellStyle name="Normal 2 4 2 2 4 2 2 2 3" xfId="11636" xr:uid="{00000000-0005-0000-0000-0000DA0B0000}"/>
    <cellStyle name="Normal 2 4 2 2 4 2 2 3" xfId="4052" xr:uid="{00000000-0005-0000-0000-0000DB0B0000}"/>
    <cellStyle name="Normal 2 4 2 2 4 2 2 3 2" xfId="7908" xr:uid="{00000000-0005-0000-0000-0000DC0B0000}"/>
    <cellStyle name="Normal 2 4 2 2 4 2 2 3 3" xfId="10394" xr:uid="{00000000-0005-0000-0000-0000DD0B0000}"/>
    <cellStyle name="Normal 2 4 2 2 4 2 2 4" xfId="5460" xr:uid="{00000000-0005-0000-0000-0000DE0B0000}"/>
    <cellStyle name="Normal 2 4 2 2 4 2 2 5" xfId="9152" xr:uid="{00000000-0005-0000-0000-0000DF0B0000}"/>
    <cellStyle name="Normal 2 4 2 2 4 2 3" xfId="2212" xr:uid="{00000000-0005-0000-0000-0000E00B0000}"/>
    <cellStyle name="Normal 2 4 2 2 4 2 3 2" xfId="6072" xr:uid="{00000000-0005-0000-0000-0000E10B0000}"/>
    <cellStyle name="Normal 2 4 2 2 4 2 3 3" xfId="10988" xr:uid="{00000000-0005-0000-0000-0000E20B0000}"/>
    <cellStyle name="Normal 2 4 2 2 4 2 4" xfId="3440" xr:uid="{00000000-0005-0000-0000-0000E30B0000}"/>
    <cellStyle name="Normal 2 4 2 2 4 2 4 2" xfId="7296" xr:uid="{00000000-0005-0000-0000-0000E40B0000}"/>
    <cellStyle name="Normal 2 4 2 2 4 2 4 3" xfId="9746" xr:uid="{00000000-0005-0000-0000-0000E50B0000}"/>
    <cellStyle name="Normal 2 4 2 2 4 2 5" xfId="4848" xr:uid="{00000000-0005-0000-0000-0000E60B0000}"/>
    <cellStyle name="Normal 2 4 2 2 4 2 6" xfId="8503" xr:uid="{00000000-0005-0000-0000-0000E70B0000}"/>
    <cellStyle name="Normal 2 4 2 2 4 3" xfId="1292" xr:uid="{00000000-0005-0000-0000-0000E80B0000}"/>
    <cellStyle name="Normal 2 4 2 2 4 3 2" xfId="2518" xr:uid="{00000000-0005-0000-0000-0000E90B0000}"/>
    <cellStyle name="Normal 2 4 2 2 4 3 2 2" xfId="6378" xr:uid="{00000000-0005-0000-0000-0000EA0B0000}"/>
    <cellStyle name="Normal 2 4 2 2 4 3 2 3" xfId="11330" xr:uid="{00000000-0005-0000-0000-0000EB0B0000}"/>
    <cellStyle name="Normal 2 4 2 2 4 3 3" xfId="3746" xr:uid="{00000000-0005-0000-0000-0000EC0B0000}"/>
    <cellStyle name="Normal 2 4 2 2 4 3 3 2" xfId="7602" xr:uid="{00000000-0005-0000-0000-0000ED0B0000}"/>
    <cellStyle name="Normal 2 4 2 2 4 3 3 3" xfId="10088" xr:uid="{00000000-0005-0000-0000-0000EE0B0000}"/>
    <cellStyle name="Normal 2 4 2 2 4 3 4" xfId="5154" xr:uid="{00000000-0005-0000-0000-0000EF0B0000}"/>
    <cellStyle name="Normal 2 4 2 2 4 3 5" xfId="8846" xr:uid="{00000000-0005-0000-0000-0000F00B0000}"/>
    <cellStyle name="Normal 2 4 2 2 4 4" xfId="1906" xr:uid="{00000000-0005-0000-0000-0000F10B0000}"/>
    <cellStyle name="Normal 2 4 2 2 4 4 2" xfId="5766" xr:uid="{00000000-0005-0000-0000-0000F20B0000}"/>
    <cellStyle name="Normal 2 4 2 2 4 4 3" xfId="10700" xr:uid="{00000000-0005-0000-0000-0000F30B0000}"/>
    <cellStyle name="Normal 2 4 2 2 4 5" xfId="3133" xr:uid="{00000000-0005-0000-0000-0000F40B0000}"/>
    <cellStyle name="Normal 2 4 2 2 4 5 2" xfId="6990" xr:uid="{00000000-0005-0000-0000-0000F50B0000}"/>
    <cellStyle name="Normal 2 4 2 2 4 5 3" xfId="11906" xr:uid="{00000000-0005-0000-0000-0000F60B0000}"/>
    <cellStyle name="Normal 2 4 2 2 4 6" xfId="4542" xr:uid="{00000000-0005-0000-0000-0000F70B0000}"/>
    <cellStyle name="Normal 2 4 2 2 4 6 2" xfId="9458" xr:uid="{00000000-0005-0000-0000-0000F80B0000}"/>
    <cellStyle name="Normal 2 4 2 2 4 7" xfId="8215" xr:uid="{00000000-0005-0000-0000-0000F90B0000}"/>
    <cellStyle name="Normal 2 4 2 2 5" xfId="540" xr:uid="{00000000-0005-0000-0000-0000FA0B0000}"/>
    <cellStyle name="Normal 2 4 2 2 5 2" xfId="890" xr:uid="{00000000-0005-0000-0000-0000FB0B0000}"/>
    <cellStyle name="Normal 2 4 2 2 5 2 2" xfId="1508" xr:uid="{00000000-0005-0000-0000-0000FC0B0000}"/>
    <cellStyle name="Normal 2 4 2 2 5 2 2 2" xfId="2734" xr:uid="{00000000-0005-0000-0000-0000FD0B0000}"/>
    <cellStyle name="Normal 2 4 2 2 5 2 2 2 2" xfId="6594" xr:uid="{00000000-0005-0000-0000-0000FE0B0000}"/>
    <cellStyle name="Normal 2 4 2 2 5 2 2 2 3" xfId="11546" xr:uid="{00000000-0005-0000-0000-0000FF0B0000}"/>
    <cellStyle name="Normal 2 4 2 2 5 2 2 3" xfId="3962" xr:uid="{00000000-0005-0000-0000-0000000C0000}"/>
    <cellStyle name="Normal 2 4 2 2 5 2 2 3 2" xfId="7818" xr:uid="{00000000-0005-0000-0000-0000010C0000}"/>
    <cellStyle name="Normal 2 4 2 2 5 2 2 3 3" xfId="10304" xr:uid="{00000000-0005-0000-0000-0000020C0000}"/>
    <cellStyle name="Normal 2 4 2 2 5 2 2 4" xfId="5370" xr:uid="{00000000-0005-0000-0000-0000030C0000}"/>
    <cellStyle name="Normal 2 4 2 2 5 2 2 5" xfId="9062" xr:uid="{00000000-0005-0000-0000-0000040C0000}"/>
    <cellStyle name="Normal 2 4 2 2 5 2 3" xfId="2122" xr:uid="{00000000-0005-0000-0000-0000050C0000}"/>
    <cellStyle name="Normal 2 4 2 2 5 2 3 2" xfId="5982" xr:uid="{00000000-0005-0000-0000-0000060C0000}"/>
    <cellStyle name="Normal 2 4 2 2 5 2 3 3" xfId="11150" xr:uid="{00000000-0005-0000-0000-0000070C0000}"/>
    <cellStyle name="Normal 2 4 2 2 5 2 4" xfId="3350" xr:uid="{00000000-0005-0000-0000-0000080C0000}"/>
    <cellStyle name="Normal 2 4 2 2 5 2 4 2" xfId="7206" xr:uid="{00000000-0005-0000-0000-0000090C0000}"/>
    <cellStyle name="Normal 2 4 2 2 5 2 4 3" xfId="9908" xr:uid="{00000000-0005-0000-0000-00000A0C0000}"/>
    <cellStyle name="Normal 2 4 2 2 5 2 5" xfId="4758" xr:uid="{00000000-0005-0000-0000-00000B0C0000}"/>
    <cellStyle name="Normal 2 4 2 2 5 2 6" xfId="8666" xr:uid="{00000000-0005-0000-0000-00000C0C0000}"/>
    <cellStyle name="Normal 2 4 2 2 5 3" xfId="1202" xr:uid="{00000000-0005-0000-0000-00000D0C0000}"/>
    <cellStyle name="Normal 2 4 2 2 5 3 2" xfId="2428" xr:uid="{00000000-0005-0000-0000-00000E0C0000}"/>
    <cellStyle name="Normal 2 4 2 2 5 3 2 2" xfId="6288" xr:uid="{00000000-0005-0000-0000-00000F0C0000}"/>
    <cellStyle name="Normal 2 4 2 2 5 3 2 3" xfId="11240" xr:uid="{00000000-0005-0000-0000-0000100C0000}"/>
    <cellStyle name="Normal 2 4 2 2 5 3 3" xfId="3656" xr:uid="{00000000-0005-0000-0000-0000110C0000}"/>
    <cellStyle name="Normal 2 4 2 2 5 3 3 2" xfId="7512" xr:uid="{00000000-0005-0000-0000-0000120C0000}"/>
    <cellStyle name="Normal 2 4 2 2 5 3 3 3" xfId="9998" xr:uid="{00000000-0005-0000-0000-0000130C0000}"/>
    <cellStyle name="Normal 2 4 2 2 5 3 4" xfId="5064" xr:uid="{00000000-0005-0000-0000-0000140C0000}"/>
    <cellStyle name="Normal 2 4 2 2 5 3 5" xfId="8756" xr:uid="{00000000-0005-0000-0000-0000150C0000}"/>
    <cellStyle name="Normal 2 4 2 2 5 4" xfId="1816" xr:uid="{00000000-0005-0000-0000-0000160C0000}"/>
    <cellStyle name="Normal 2 4 2 2 5 4 2" xfId="5676" xr:uid="{00000000-0005-0000-0000-0000170C0000}"/>
    <cellStyle name="Normal 2 4 2 2 5 4 2 2" xfId="11132" xr:uid="{00000000-0005-0000-0000-0000180C0000}"/>
    <cellStyle name="Normal 2 4 2 2 5 4 3" xfId="9890" xr:uid="{00000000-0005-0000-0000-0000190C0000}"/>
    <cellStyle name="Normal 2 4 2 2 5 4 4" xfId="8647" xr:uid="{00000000-0005-0000-0000-00001A0C0000}"/>
    <cellStyle name="Normal 2 4 2 2 5 5" xfId="3043" xr:uid="{00000000-0005-0000-0000-00001B0C0000}"/>
    <cellStyle name="Normal 2 4 2 2 5 5 2" xfId="6900" xr:uid="{00000000-0005-0000-0000-00001C0C0000}"/>
    <cellStyle name="Normal 2 4 2 2 5 5 3" xfId="10610" xr:uid="{00000000-0005-0000-0000-00001D0C0000}"/>
    <cellStyle name="Normal 2 4 2 2 5 6" xfId="4452" xr:uid="{00000000-0005-0000-0000-00001E0C0000}"/>
    <cellStyle name="Normal 2 4 2 2 5 6 2" xfId="9368" xr:uid="{00000000-0005-0000-0000-00001F0C0000}"/>
    <cellStyle name="Normal 2 4 2 2 5 7" xfId="8125" xr:uid="{00000000-0005-0000-0000-0000200C0000}"/>
    <cellStyle name="Normal 2 4 2 2 6" xfId="816" xr:uid="{00000000-0005-0000-0000-0000210C0000}"/>
    <cellStyle name="Normal 2 4 2 2 6 2" xfId="1454" xr:uid="{00000000-0005-0000-0000-0000220C0000}"/>
    <cellStyle name="Normal 2 4 2 2 6 2 2" xfId="2680" xr:uid="{00000000-0005-0000-0000-0000230C0000}"/>
    <cellStyle name="Normal 2 4 2 2 6 2 2 2" xfId="6540" xr:uid="{00000000-0005-0000-0000-0000240C0000}"/>
    <cellStyle name="Normal 2 4 2 2 6 2 2 3" xfId="11492" xr:uid="{00000000-0005-0000-0000-0000250C0000}"/>
    <cellStyle name="Normal 2 4 2 2 6 2 3" xfId="3908" xr:uid="{00000000-0005-0000-0000-0000260C0000}"/>
    <cellStyle name="Normal 2 4 2 2 6 2 3 2" xfId="7764" xr:uid="{00000000-0005-0000-0000-0000270C0000}"/>
    <cellStyle name="Normal 2 4 2 2 6 2 3 3" xfId="10250" xr:uid="{00000000-0005-0000-0000-0000280C0000}"/>
    <cellStyle name="Normal 2 4 2 2 6 2 4" xfId="5316" xr:uid="{00000000-0005-0000-0000-0000290C0000}"/>
    <cellStyle name="Normal 2 4 2 2 6 2 5" xfId="9008" xr:uid="{00000000-0005-0000-0000-00002A0C0000}"/>
    <cellStyle name="Normal 2 4 2 2 6 3" xfId="2068" xr:uid="{00000000-0005-0000-0000-00002B0C0000}"/>
    <cellStyle name="Normal 2 4 2 2 6 3 2" xfId="5928" xr:uid="{00000000-0005-0000-0000-00002C0C0000}"/>
    <cellStyle name="Normal 2 4 2 2 6 3 3" xfId="10898" xr:uid="{00000000-0005-0000-0000-00002D0C0000}"/>
    <cellStyle name="Normal 2 4 2 2 6 4" xfId="3296" xr:uid="{00000000-0005-0000-0000-00002E0C0000}"/>
    <cellStyle name="Normal 2 4 2 2 6 4 2" xfId="7152" xr:uid="{00000000-0005-0000-0000-00002F0C0000}"/>
    <cellStyle name="Normal 2 4 2 2 6 4 3" xfId="9656" xr:uid="{00000000-0005-0000-0000-0000300C0000}"/>
    <cellStyle name="Normal 2 4 2 2 6 5" xfId="4704" xr:uid="{00000000-0005-0000-0000-0000310C0000}"/>
    <cellStyle name="Normal 2 4 2 2 6 6" xfId="8413" xr:uid="{00000000-0005-0000-0000-0000320C0000}"/>
    <cellStyle name="Normal 2 4 2 2 7" xfId="1148" xr:uid="{00000000-0005-0000-0000-0000330C0000}"/>
    <cellStyle name="Normal 2 4 2 2 7 2" xfId="2374" xr:uid="{00000000-0005-0000-0000-0000340C0000}"/>
    <cellStyle name="Normal 2 4 2 2 7 2 2" xfId="6234" xr:uid="{00000000-0005-0000-0000-0000350C0000}"/>
    <cellStyle name="Normal 2 4 2 2 7 2 3" xfId="11186" xr:uid="{00000000-0005-0000-0000-0000360C0000}"/>
    <cellStyle name="Normal 2 4 2 2 7 3" xfId="3602" xr:uid="{00000000-0005-0000-0000-0000370C0000}"/>
    <cellStyle name="Normal 2 4 2 2 7 3 2" xfId="7458" xr:uid="{00000000-0005-0000-0000-0000380C0000}"/>
    <cellStyle name="Normal 2 4 2 2 7 3 3" xfId="9944" xr:uid="{00000000-0005-0000-0000-0000390C0000}"/>
    <cellStyle name="Normal 2 4 2 2 7 4" xfId="5010" xr:uid="{00000000-0005-0000-0000-00003A0C0000}"/>
    <cellStyle name="Normal 2 4 2 2 7 5" xfId="8702" xr:uid="{00000000-0005-0000-0000-00003B0C0000}"/>
    <cellStyle name="Normal 2 4 2 2 8" xfId="1762" xr:uid="{00000000-0005-0000-0000-00003C0C0000}"/>
    <cellStyle name="Normal 2 4 2 2 8 2" xfId="5622" xr:uid="{00000000-0005-0000-0000-00003D0C0000}"/>
    <cellStyle name="Normal 2 4 2 2 8 3" xfId="10556" xr:uid="{00000000-0005-0000-0000-00003E0C0000}"/>
    <cellStyle name="Normal 2 4 2 2 9" xfId="2989" xr:uid="{00000000-0005-0000-0000-00003F0C0000}"/>
    <cellStyle name="Normal 2 4 2 2 9 2" xfId="6846" xr:uid="{00000000-0005-0000-0000-0000400C0000}"/>
    <cellStyle name="Normal 2 4 2 2 9 3" xfId="11816" xr:uid="{00000000-0005-0000-0000-0000410C0000}"/>
    <cellStyle name="Normal 2 4 2 3" xfId="561" xr:uid="{00000000-0005-0000-0000-0000420C0000}"/>
    <cellStyle name="Normal 2 4 2 3 2" xfId="742" xr:uid="{00000000-0005-0000-0000-0000430C0000}"/>
    <cellStyle name="Normal 2 4 2 3 2 2" xfId="1092" xr:uid="{00000000-0005-0000-0000-0000440C0000}"/>
    <cellStyle name="Normal 2 4 2 3 2 2 2" xfId="1706" xr:uid="{00000000-0005-0000-0000-0000450C0000}"/>
    <cellStyle name="Normal 2 4 2 3 2 2 2 2" xfId="2932" xr:uid="{00000000-0005-0000-0000-0000460C0000}"/>
    <cellStyle name="Normal 2 4 2 3 2 2 2 2 2" xfId="6792" xr:uid="{00000000-0005-0000-0000-0000470C0000}"/>
    <cellStyle name="Normal 2 4 2 3 2 2 2 2 3" xfId="11744" xr:uid="{00000000-0005-0000-0000-0000480C0000}"/>
    <cellStyle name="Normal 2 4 2 3 2 2 2 3" xfId="4160" xr:uid="{00000000-0005-0000-0000-0000490C0000}"/>
    <cellStyle name="Normal 2 4 2 3 2 2 2 3 2" xfId="8016" xr:uid="{00000000-0005-0000-0000-00004A0C0000}"/>
    <cellStyle name="Normal 2 4 2 3 2 2 2 3 3" xfId="10502" xr:uid="{00000000-0005-0000-0000-00004B0C0000}"/>
    <cellStyle name="Normal 2 4 2 3 2 2 2 4" xfId="5568" xr:uid="{00000000-0005-0000-0000-00004C0C0000}"/>
    <cellStyle name="Normal 2 4 2 3 2 2 2 5" xfId="9260" xr:uid="{00000000-0005-0000-0000-00004D0C0000}"/>
    <cellStyle name="Normal 2 4 2 3 2 2 3" xfId="2320" xr:uid="{00000000-0005-0000-0000-00004E0C0000}"/>
    <cellStyle name="Normal 2 4 2 3 2 2 3 2" xfId="6180" xr:uid="{00000000-0005-0000-0000-00004F0C0000}"/>
    <cellStyle name="Normal 2 4 2 3 2 2 3 3" xfId="11096" xr:uid="{00000000-0005-0000-0000-0000500C0000}"/>
    <cellStyle name="Normal 2 4 2 3 2 2 4" xfId="3548" xr:uid="{00000000-0005-0000-0000-0000510C0000}"/>
    <cellStyle name="Normal 2 4 2 3 2 2 4 2" xfId="7404" xr:uid="{00000000-0005-0000-0000-0000520C0000}"/>
    <cellStyle name="Normal 2 4 2 3 2 2 4 3" xfId="9854" xr:uid="{00000000-0005-0000-0000-0000530C0000}"/>
    <cellStyle name="Normal 2 4 2 3 2 2 5" xfId="4956" xr:uid="{00000000-0005-0000-0000-0000540C0000}"/>
    <cellStyle name="Normal 2 4 2 3 2 2 6" xfId="8611" xr:uid="{00000000-0005-0000-0000-0000550C0000}"/>
    <cellStyle name="Normal 2 4 2 3 2 3" xfId="1400" xr:uid="{00000000-0005-0000-0000-0000560C0000}"/>
    <cellStyle name="Normal 2 4 2 3 2 3 2" xfId="2626" xr:uid="{00000000-0005-0000-0000-0000570C0000}"/>
    <cellStyle name="Normal 2 4 2 3 2 3 2 2" xfId="6486" xr:uid="{00000000-0005-0000-0000-0000580C0000}"/>
    <cellStyle name="Normal 2 4 2 3 2 3 2 3" xfId="11438" xr:uid="{00000000-0005-0000-0000-0000590C0000}"/>
    <cellStyle name="Normal 2 4 2 3 2 3 3" xfId="3854" xr:uid="{00000000-0005-0000-0000-00005A0C0000}"/>
    <cellStyle name="Normal 2 4 2 3 2 3 3 2" xfId="7710" xr:uid="{00000000-0005-0000-0000-00005B0C0000}"/>
    <cellStyle name="Normal 2 4 2 3 2 3 3 3" xfId="10196" xr:uid="{00000000-0005-0000-0000-00005C0C0000}"/>
    <cellStyle name="Normal 2 4 2 3 2 3 4" xfId="5262" xr:uid="{00000000-0005-0000-0000-00005D0C0000}"/>
    <cellStyle name="Normal 2 4 2 3 2 3 5" xfId="8954" xr:uid="{00000000-0005-0000-0000-00005E0C0000}"/>
    <cellStyle name="Normal 2 4 2 3 2 4" xfId="2014" xr:uid="{00000000-0005-0000-0000-00005F0C0000}"/>
    <cellStyle name="Normal 2 4 2 3 2 4 2" xfId="5874" xr:uid="{00000000-0005-0000-0000-0000600C0000}"/>
    <cellStyle name="Normal 2 4 2 3 2 4 3" xfId="10808" xr:uid="{00000000-0005-0000-0000-0000610C0000}"/>
    <cellStyle name="Normal 2 4 2 3 2 5" xfId="3241" xr:uid="{00000000-0005-0000-0000-0000620C0000}"/>
    <cellStyle name="Normal 2 4 2 3 2 5 2" xfId="7098" xr:uid="{00000000-0005-0000-0000-0000630C0000}"/>
    <cellStyle name="Normal 2 4 2 3 2 5 3" xfId="12014" xr:uid="{00000000-0005-0000-0000-0000640C0000}"/>
    <cellStyle name="Normal 2 4 2 3 2 6" xfId="4650" xr:uid="{00000000-0005-0000-0000-0000650C0000}"/>
    <cellStyle name="Normal 2 4 2 3 2 6 2" xfId="9566" xr:uid="{00000000-0005-0000-0000-0000660C0000}"/>
    <cellStyle name="Normal 2 4 2 3 2 7" xfId="8323" xr:uid="{00000000-0005-0000-0000-0000670C0000}"/>
    <cellStyle name="Normal 2 4 2 3 3" xfId="652" xr:uid="{00000000-0005-0000-0000-0000680C0000}"/>
    <cellStyle name="Normal 2 4 2 3 3 2" xfId="1002" xr:uid="{00000000-0005-0000-0000-0000690C0000}"/>
    <cellStyle name="Normal 2 4 2 3 3 2 2" xfId="1616" xr:uid="{00000000-0005-0000-0000-00006A0C0000}"/>
    <cellStyle name="Normal 2 4 2 3 3 2 2 2" xfId="2842" xr:uid="{00000000-0005-0000-0000-00006B0C0000}"/>
    <cellStyle name="Normal 2 4 2 3 3 2 2 2 2" xfId="6702" xr:uid="{00000000-0005-0000-0000-00006C0C0000}"/>
    <cellStyle name="Normal 2 4 2 3 3 2 2 2 3" xfId="11654" xr:uid="{00000000-0005-0000-0000-00006D0C0000}"/>
    <cellStyle name="Normal 2 4 2 3 3 2 2 3" xfId="4070" xr:uid="{00000000-0005-0000-0000-00006E0C0000}"/>
    <cellStyle name="Normal 2 4 2 3 3 2 2 3 2" xfId="7926" xr:uid="{00000000-0005-0000-0000-00006F0C0000}"/>
    <cellStyle name="Normal 2 4 2 3 3 2 2 3 3" xfId="10412" xr:uid="{00000000-0005-0000-0000-0000700C0000}"/>
    <cellStyle name="Normal 2 4 2 3 3 2 2 4" xfId="5478" xr:uid="{00000000-0005-0000-0000-0000710C0000}"/>
    <cellStyle name="Normal 2 4 2 3 3 2 2 5" xfId="9170" xr:uid="{00000000-0005-0000-0000-0000720C0000}"/>
    <cellStyle name="Normal 2 4 2 3 3 2 3" xfId="2230" xr:uid="{00000000-0005-0000-0000-0000730C0000}"/>
    <cellStyle name="Normal 2 4 2 3 3 2 3 2" xfId="6090" xr:uid="{00000000-0005-0000-0000-0000740C0000}"/>
    <cellStyle name="Normal 2 4 2 3 3 2 3 3" xfId="11006" xr:uid="{00000000-0005-0000-0000-0000750C0000}"/>
    <cellStyle name="Normal 2 4 2 3 3 2 4" xfId="3458" xr:uid="{00000000-0005-0000-0000-0000760C0000}"/>
    <cellStyle name="Normal 2 4 2 3 3 2 4 2" xfId="7314" xr:uid="{00000000-0005-0000-0000-0000770C0000}"/>
    <cellStyle name="Normal 2 4 2 3 3 2 4 3" xfId="9764" xr:uid="{00000000-0005-0000-0000-0000780C0000}"/>
    <cellStyle name="Normal 2 4 2 3 3 2 5" xfId="4866" xr:uid="{00000000-0005-0000-0000-0000790C0000}"/>
    <cellStyle name="Normal 2 4 2 3 3 2 6" xfId="8521" xr:uid="{00000000-0005-0000-0000-00007A0C0000}"/>
    <cellStyle name="Normal 2 4 2 3 3 3" xfId="1310" xr:uid="{00000000-0005-0000-0000-00007B0C0000}"/>
    <cellStyle name="Normal 2 4 2 3 3 3 2" xfId="2536" xr:uid="{00000000-0005-0000-0000-00007C0C0000}"/>
    <cellStyle name="Normal 2 4 2 3 3 3 2 2" xfId="6396" xr:uid="{00000000-0005-0000-0000-00007D0C0000}"/>
    <cellStyle name="Normal 2 4 2 3 3 3 2 3" xfId="11348" xr:uid="{00000000-0005-0000-0000-00007E0C0000}"/>
    <cellStyle name="Normal 2 4 2 3 3 3 3" xfId="3764" xr:uid="{00000000-0005-0000-0000-00007F0C0000}"/>
    <cellStyle name="Normal 2 4 2 3 3 3 3 2" xfId="7620" xr:uid="{00000000-0005-0000-0000-0000800C0000}"/>
    <cellStyle name="Normal 2 4 2 3 3 3 3 3" xfId="10106" xr:uid="{00000000-0005-0000-0000-0000810C0000}"/>
    <cellStyle name="Normal 2 4 2 3 3 3 4" xfId="5172" xr:uid="{00000000-0005-0000-0000-0000820C0000}"/>
    <cellStyle name="Normal 2 4 2 3 3 3 5" xfId="8864" xr:uid="{00000000-0005-0000-0000-0000830C0000}"/>
    <cellStyle name="Normal 2 4 2 3 3 4" xfId="1924" xr:uid="{00000000-0005-0000-0000-0000840C0000}"/>
    <cellStyle name="Normal 2 4 2 3 3 4 2" xfId="5784" xr:uid="{00000000-0005-0000-0000-0000850C0000}"/>
    <cellStyle name="Normal 2 4 2 3 3 4 3" xfId="10718" xr:uid="{00000000-0005-0000-0000-0000860C0000}"/>
    <cellStyle name="Normal 2 4 2 3 3 5" xfId="3151" xr:uid="{00000000-0005-0000-0000-0000870C0000}"/>
    <cellStyle name="Normal 2 4 2 3 3 5 2" xfId="7008" xr:uid="{00000000-0005-0000-0000-0000880C0000}"/>
    <cellStyle name="Normal 2 4 2 3 3 5 3" xfId="11924" xr:uid="{00000000-0005-0000-0000-0000890C0000}"/>
    <cellStyle name="Normal 2 4 2 3 3 6" xfId="4560" xr:uid="{00000000-0005-0000-0000-00008A0C0000}"/>
    <cellStyle name="Normal 2 4 2 3 3 6 2" xfId="9476" xr:uid="{00000000-0005-0000-0000-00008B0C0000}"/>
    <cellStyle name="Normal 2 4 2 3 3 7" xfId="8233" xr:uid="{00000000-0005-0000-0000-00008C0C0000}"/>
    <cellStyle name="Normal 2 4 2 3 4" xfId="911" xr:uid="{00000000-0005-0000-0000-00008D0C0000}"/>
    <cellStyle name="Normal 2 4 2 3 4 2" xfId="1526" xr:uid="{00000000-0005-0000-0000-00008E0C0000}"/>
    <cellStyle name="Normal 2 4 2 3 4 2 2" xfId="2752" xr:uid="{00000000-0005-0000-0000-00008F0C0000}"/>
    <cellStyle name="Normal 2 4 2 3 4 2 2 2" xfId="6612" xr:uid="{00000000-0005-0000-0000-0000900C0000}"/>
    <cellStyle name="Normal 2 4 2 3 4 2 2 3" xfId="11564" xr:uid="{00000000-0005-0000-0000-0000910C0000}"/>
    <cellStyle name="Normal 2 4 2 3 4 2 3" xfId="3980" xr:uid="{00000000-0005-0000-0000-0000920C0000}"/>
    <cellStyle name="Normal 2 4 2 3 4 2 3 2" xfId="7836" xr:uid="{00000000-0005-0000-0000-0000930C0000}"/>
    <cellStyle name="Normal 2 4 2 3 4 2 3 3" xfId="10322" xr:uid="{00000000-0005-0000-0000-0000940C0000}"/>
    <cellStyle name="Normal 2 4 2 3 4 2 4" xfId="5388" xr:uid="{00000000-0005-0000-0000-0000950C0000}"/>
    <cellStyle name="Normal 2 4 2 3 4 2 5" xfId="9080" xr:uid="{00000000-0005-0000-0000-0000960C0000}"/>
    <cellStyle name="Normal 2 4 2 3 4 3" xfId="2140" xr:uid="{00000000-0005-0000-0000-0000970C0000}"/>
    <cellStyle name="Normal 2 4 2 3 4 3 2" xfId="6000" xr:uid="{00000000-0005-0000-0000-0000980C0000}"/>
    <cellStyle name="Normal 2 4 2 3 4 3 3" xfId="10916" xr:uid="{00000000-0005-0000-0000-0000990C0000}"/>
    <cellStyle name="Normal 2 4 2 3 4 4" xfId="3368" xr:uid="{00000000-0005-0000-0000-00009A0C0000}"/>
    <cellStyle name="Normal 2 4 2 3 4 4 2" xfId="7224" xr:uid="{00000000-0005-0000-0000-00009B0C0000}"/>
    <cellStyle name="Normal 2 4 2 3 4 4 3" xfId="9674" xr:uid="{00000000-0005-0000-0000-00009C0C0000}"/>
    <cellStyle name="Normal 2 4 2 3 4 5" xfId="4776" xr:uid="{00000000-0005-0000-0000-00009D0C0000}"/>
    <cellStyle name="Normal 2 4 2 3 4 6" xfId="8431" xr:uid="{00000000-0005-0000-0000-00009E0C0000}"/>
    <cellStyle name="Normal 2 4 2 3 5" xfId="1220" xr:uid="{00000000-0005-0000-0000-00009F0C0000}"/>
    <cellStyle name="Normal 2 4 2 3 5 2" xfId="2446" xr:uid="{00000000-0005-0000-0000-0000A00C0000}"/>
    <cellStyle name="Normal 2 4 2 3 5 2 2" xfId="6306" xr:uid="{00000000-0005-0000-0000-0000A10C0000}"/>
    <cellStyle name="Normal 2 4 2 3 5 2 3" xfId="11258" xr:uid="{00000000-0005-0000-0000-0000A20C0000}"/>
    <cellStyle name="Normal 2 4 2 3 5 3" xfId="3674" xr:uid="{00000000-0005-0000-0000-0000A30C0000}"/>
    <cellStyle name="Normal 2 4 2 3 5 3 2" xfId="7530" xr:uid="{00000000-0005-0000-0000-0000A40C0000}"/>
    <cellStyle name="Normal 2 4 2 3 5 3 3" xfId="10016" xr:uid="{00000000-0005-0000-0000-0000A50C0000}"/>
    <cellStyle name="Normal 2 4 2 3 5 4" xfId="5082" xr:uid="{00000000-0005-0000-0000-0000A60C0000}"/>
    <cellStyle name="Normal 2 4 2 3 5 5" xfId="8774" xr:uid="{00000000-0005-0000-0000-0000A70C0000}"/>
    <cellStyle name="Normal 2 4 2 3 6" xfId="1834" xr:uid="{00000000-0005-0000-0000-0000A80C0000}"/>
    <cellStyle name="Normal 2 4 2 3 6 2" xfId="5694" xr:uid="{00000000-0005-0000-0000-0000A90C0000}"/>
    <cellStyle name="Normal 2 4 2 3 6 3" xfId="10628" xr:uid="{00000000-0005-0000-0000-0000AA0C0000}"/>
    <cellStyle name="Normal 2 4 2 3 7" xfId="3061" xr:uid="{00000000-0005-0000-0000-0000AB0C0000}"/>
    <cellStyle name="Normal 2 4 2 3 7 2" xfId="6918" xr:uid="{00000000-0005-0000-0000-0000AC0C0000}"/>
    <cellStyle name="Normal 2 4 2 3 7 3" xfId="11834" xr:uid="{00000000-0005-0000-0000-0000AD0C0000}"/>
    <cellStyle name="Normal 2 4 2 3 8" xfId="4470" xr:uid="{00000000-0005-0000-0000-0000AE0C0000}"/>
    <cellStyle name="Normal 2 4 2 3 8 2" xfId="9386" xr:uid="{00000000-0005-0000-0000-0000AF0C0000}"/>
    <cellStyle name="Normal 2 4 2 3 9" xfId="8143" xr:uid="{00000000-0005-0000-0000-0000B00C0000}"/>
    <cellStyle name="Normal 2 4 2 4" xfId="504" xr:uid="{00000000-0005-0000-0000-0000B10C0000}"/>
    <cellStyle name="Normal 2 4 2 4 2" xfId="706" xr:uid="{00000000-0005-0000-0000-0000B20C0000}"/>
    <cellStyle name="Normal 2 4 2 4 2 2" xfId="1056" xr:uid="{00000000-0005-0000-0000-0000B30C0000}"/>
    <cellStyle name="Normal 2 4 2 4 2 2 2" xfId="1670" xr:uid="{00000000-0005-0000-0000-0000B40C0000}"/>
    <cellStyle name="Normal 2 4 2 4 2 2 2 2" xfId="2896" xr:uid="{00000000-0005-0000-0000-0000B50C0000}"/>
    <cellStyle name="Normal 2 4 2 4 2 2 2 2 2" xfId="6756" xr:uid="{00000000-0005-0000-0000-0000B60C0000}"/>
    <cellStyle name="Normal 2 4 2 4 2 2 2 2 3" xfId="11708" xr:uid="{00000000-0005-0000-0000-0000B70C0000}"/>
    <cellStyle name="Normal 2 4 2 4 2 2 2 3" xfId="4124" xr:uid="{00000000-0005-0000-0000-0000B80C0000}"/>
    <cellStyle name="Normal 2 4 2 4 2 2 2 3 2" xfId="7980" xr:uid="{00000000-0005-0000-0000-0000B90C0000}"/>
    <cellStyle name="Normal 2 4 2 4 2 2 2 3 3" xfId="10466" xr:uid="{00000000-0005-0000-0000-0000BA0C0000}"/>
    <cellStyle name="Normal 2 4 2 4 2 2 2 4" xfId="5532" xr:uid="{00000000-0005-0000-0000-0000BB0C0000}"/>
    <cellStyle name="Normal 2 4 2 4 2 2 2 5" xfId="9224" xr:uid="{00000000-0005-0000-0000-0000BC0C0000}"/>
    <cellStyle name="Normal 2 4 2 4 2 2 3" xfId="2284" xr:uid="{00000000-0005-0000-0000-0000BD0C0000}"/>
    <cellStyle name="Normal 2 4 2 4 2 2 3 2" xfId="6144" xr:uid="{00000000-0005-0000-0000-0000BE0C0000}"/>
    <cellStyle name="Normal 2 4 2 4 2 2 3 3" xfId="11060" xr:uid="{00000000-0005-0000-0000-0000BF0C0000}"/>
    <cellStyle name="Normal 2 4 2 4 2 2 4" xfId="3512" xr:uid="{00000000-0005-0000-0000-0000C00C0000}"/>
    <cellStyle name="Normal 2 4 2 4 2 2 4 2" xfId="7368" xr:uid="{00000000-0005-0000-0000-0000C10C0000}"/>
    <cellStyle name="Normal 2 4 2 4 2 2 4 3" xfId="9818" xr:uid="{00000000-0005-0000-0000-0000C20C0000}"/>
    <cellStyle name="Normal 2 4 2 4 2 2 5" xfId="4920" xr:uid="{00000000-0005-0000-0000-0000C30C0000}"/>
    <cellStyle name="Normal 2 4 2 4 2 2 6" xfId="8575" xr:uid="{00000000-0005-0000-0000-0000C40C0000}"/>
    <cellStyle name="Normal 2 4 2 4 2 3" xfId="1364" xr:uid="{00000000-0005-0000-0000-0000C50C0000}"/>
    <cellStyle name="Normal 2 4 2 4 2 3 2" xfId="2590" xr:uid="{00000000-0005-0000-0000-0000C60C0000}"/>
    <cellStyle name="Normal 2 4 2 4 2 3 2 2" xfId="6450" xr:uid="{00000000-0005-0000-0000-0000C70C0000}"/>
    <cellStyle name="Normal 2 4 2 4 2 3 2 3" xfId="11402" xr:uid="{00000000-0005-0000-0000-0000C80C0000}"/>
    <cellStyle name="Normal 2 4 2 4 2 3 3" xfId="3818" xr:uid="{00000000-0005-0000-0000-0000C90C0000}"/>
    <cellStyle name="Normal 2 4 2 4 2 3 3 2" xfId="7674" xr:uid="{00000000-0005-0000-0000-0000CA0C0000}"/>
    <cellStyle name="Normal 2 4 2 4 2 3 3 3" xfId="10160" xr:uid="{00000000-0005-0000-0000-0000CB0C0000}"/>
    <cellStyle name="Normal 2 4 2 4 2 3 4" xfId="5226" xr:uid="{00000000-0005-0000-0000-0000CC0C0000}"/>
    <cellStyle name="Normal 2 4 2 4 2 3 5" xfId="8918" xr:uid="{00000000-0005-0000-0000-0000CD0C0000}"/>
    <cellStyle name="Normal 2 4 2 4 2 4" xfId="1978" xr:uid="{00000000-0005-0000-0000-0000CE0C0000}"/>
    <cellStyle name="Normal 2 4 2 4 2 4 2" xfId="5838" xr:uid="{00000000-0005-0000-0000-0000CF0C0000}"/>
    <cellStyle name="Normal 2 4 2 4 2 4 3" xfId="10772" xr:uid="{00000000-0005-0000-0000-0000D00C0000}"/>
    <cellStyle name="Normal 2 4 2 4 2 5" xfId="3205" xr:uid="{00000000-0005-0000-0000-0000D10C0000}"/>
    <cellStyle name="Normal 2 4 2 4 2 5 2" xfId="7062" xr:uid="{00000000-0005-0000-0000-0000D20C0000}"/>
    <cellStyle name="Normal 2 4 2 4 2 5 3" xfId="11978" xr:uid="{00000000-0005-0000-0000-0000D30C0000}"/>
    <cellStyle name="Normal 2 4 2 4 2 6" xfId="4614" xr:uid="{00000000-0005-0000-0000-0000D40C0000}"/>
    <cellStyle name="Normal 2 4 2 4 2 6 2" xfId="9530" xr:uid="{00000000-0005-0000-0000-0000D50C0000}"/>
    <cellStyle name="Normal 2 4 2 4 2 7" xfId="8287" xr:uid="{00000000-0005-0000-0000-0000D60C0000}"/>
    <cellStyle name="Normal 2 4 2 4 3" xfId="616" xr:uid="{00000000-0005-0000-0000-0000D70C0000}"/>
    <cellStyle name="Normal 2 4 2 4 3 2" xfId="966" xr:uid="{00000000-0005-0000-0000-0000D80C0000}"/>
    <cellStyle name="Normal 2 4 2 4 3 2 2" xfId="1580" xr:uid="{00000000-0005-0000-0000-0000D90C0000}"/>
    <cellStyle name="Normal 2 4 2 4 3 2 2 2" xfId="2806" xr:uid="{00000000-0005-0000-0000-0000DA0C0000}"/>
    <cellStyle name="Normal 2 4 2 4 3 2 2 2 2" xfId="6666" xr:uid="{00000000-0005-0000-0000-0000DB0C0000}"/>
    <cellStyle name="Normal 2 4 2 4 3 2 2 2 3" xfId="11618" xr:uid="{00000000-0005-0000-0000-0000DC0C0000}"/>
    <cellStyle name="Normal 2 4 2 4 3 2 2 3" xfId="4034" xr:uid="{00000000-0005-0000-0000-0000DD0C0000}"/>
    <cellStyle name="Normal 2 4 2 4 3 2 2 3 2" xfId="7890" xr:uid="{00000000-0005-0000-0000-0000DE0C0000}"/>
    <cellStyle name="Normal 2 4 2 4 3 2 2 3 3" xfId="10376" xr:uid="{00000000-0005-0000-0000-0000DF0C0000}"/>
    <cellStyle name="Normal 2 4 2 4 3 2 2 4" xfId="5442" xr:uid="{00000000-0005-0000-0000-0000E00C0000}"/>
    <cellStyle name="Normal 2 4 2 4 3 2 2 5" xfId="9134" xr:uid="{00000000-0005-0000-0000-0000E10C0000}"/>
    <cellStyle name="Normal 2 4 2 4 3 2 3" xfId="2194" xr:uid="{00000000-0005-0000-0000-0000E20C0000}"/>
    <cellStyle name="Normal 2 4 2 4 3 2 3 2" xfId="6054" xr:uid="{00000000-0005-0000-0000-0000E30C0000}"/>
    <cellStyle name="Normal 2 4 2 4 3 2 3 3" xfId="10970" xr:uid="{00000000-0005-0000-0000-0000E40C0000}"/>
    <cellStyle name="Normal 2 4 2 4 3 2 4" xfId="3422" xr:uid="{00000000-0005-0000-0000-0000E50C0000}"/>
    <cellStyle name="Normal 2 4 2 4 3 2 4 2" xfId="7278" xr:uid="{00000000-0005-0000-0000-0000E60C0000}"/>
    <cellStyle name="Normal 2 4 2 4 3 2 4 3" xfId="9728" xr:uid="{00000000-0005-0000-0000-0000E70C0000}"/>
    <cellStyle name="Normal 2 4 2 4 3 2 5" xfId="4830" xr:uid="{00000000-0005-0000-0000-0000E80C0000}"/>
    <cellStyle name="Normal 2 4 2 4 3 2 6" xfId="8485" xr:uid="{00000000-0005-0000-0000-0000E90C0000}"/>
    <cellStyle name="Normal 2 4 2 4 3 3" xfId="1274" xr:uid="{00000000-0005-0000-0000-0000EA0C0000}"/>
    <cellStyle name="Normal 2 4 2 4 3 3 2" xfId="2500" xr:uid="{00000000-0005-0000-0000-0000EB0C0000}"/>
    <cellStyle name="Normal 2 4 2 4 3 3 2 2" xfId="6360" xr:uid="{00000000-0005-0000-0000-0000EC0C0000}"/>
    <cellStyle name="Normal 2 4 2 4 3 3 2 3" xfId="11312" xr:uid="{00000000-0005-0000-0000-0000ED0C0000}"/>
    <cellStyle name="Normal 2 4 2 4 3 3 3" xfId="3728" xr:uid="{00000000-0005-0000-0000-0000EE0C0000}"/>
    <cellStyle name="Normal 2 4 2 4 3 3 3 2" xfId="7584" xr:uid="{00000000-0005-0000-0000-0000EF0C0000}"/>
    <cellStyle name="Normal 2 4 2 4 3 3 3 3" xfId="10070" xr:uid="{00000000-0005-0000-0000-0000F00C0000}"/>
    <cellStyle name="Normal 2 4 2 4 3 3 4" xfId="5136" xr:uid="{00000000-0005-0000-0000-0000F10C0000}"/>
    <cellStyle name="Normal 2 4 2 4 3 3 5" xfId="8828" xr:uid="{00000000-0005-0000-0000-0000F20C0000}"/>
    <cellStyle name="Normal 2 4 2 4 3 4" xfId="1888" xr:uid="{00000000-0005-0000-0000-0000F30C0000}"/>
    <cellStyle name="Normal 2 4 2 4 3 4 2" xfId="5748" xr:uid="{00000000-0005-0000-0000-0000F40C0000}"/>
    <cellStyle name="Normal 2 4 2 4 3 4 3" xfId="10682" xr:uid="{00000000-0005-0000-0000-0000F50C0000}"/>
    <cellStyle name="Normal 2 4 2 4 3 5" xfId="3115" xr:uid="{00000000-0005-0000-0000-0000F60C0000}"/>
    <cellStyle name="Normal 2 4 2 4 3 5 2" xfId="6972" xr:uid="{00000000-0005-0000-0000-0000F70C0000}"/>
    <cellStyle name="Normal 2 4 2 4 3 5 3" xfId="11888" xr:uid="{00000000-0005-0000-0000-0000F80C0000}"/>
    <cellStyle name="Normal 2 4 2 4 3 6" xfId="4524" xr:uid="{00000000-0005-0000-0000-0000F90C0000}"/>
    <cellStyle name="Normal 2 4 2 4 3 6 2" xfId="9440" xr:uid="{00000000-0005-0000-0000-0000FA0C0000}"/>
    <cellStyle name="Normal 2 4 2 4 3 7" xfId="8197" xr:uid="{00000000-0005-0000-0000-0000FB0C0000}"/>
    <cellStyle name="Normal 2 4 2 4 4" xfId="854" xr:uid="{00000000-0005-0000-0000-0000FC0C0000}"/>
    <cellStyle name="Normal 2 4 2 4 4 2" xfId="1490" xr:uid="{00000000-0005-0000-0000-0000FD0C0000}"/>
    <cellStyle name="Normal 2 4 2 4 4 2 2" xfId="2716" xr:uid="{00000000-0005-0000-0000-0000FE0C0000}"/>
    <cellStyle name="Normal 2 4 2 4 4 2 2 2" xfId="6576" xr:uid="{00000000-0005-0000-0000-0000FF0C0000}"/>
    <cellStyle name="Normal 2 4 2 4 4 2 2 3" xfId="11528" xr:uid="{00000000-0005-0000-0000-0000000D0000}"/>
    <cellStyle name="Normal 2 4 2 4 4 2 3" xfId="3944" xr:uid="{00000000-0005-0000-0000-0000010D0000}"/>
    <cellStyle name="Normal 2 4 2 4 4 2 3 2" xfId="7800" xr:uid="{00000000-0005-0000-0000-0000020D0000}"/>
    <cellStyle name="Normal 2 4 2 4 4 2 3 3" xfId="10286" xr:uid="{00000000-0005-0000-0000-0000030D0000}"/>
    <cellStyle name="Normal 2 4 2 4 4 2 4" xfId="5352" xr:uid="{00000000-0005-0000-0000-0000040D0000}"/>
    <cellStyle name="Normal 2 4 2 4 4 2 5" xfId="9044" xr:uid="{00000000-0005-0000-0000-0000050D0000}"/>
    <cellStyle name="Normal 2 4 2 4 4 3" xfId="2104" xr:uid="{00000000-0005-0000-0000-0000060D0000}"/>
    <cellStyle name="Normal 2 4 2 4 4 3 2" xfId="5964" xr:uid="{00000000-0005-0000-0000-0000070D0000}"/>
    <cellStyle name="Normal 2 4 2 4 4 3 3" xfId="10880" xr:uid="{00000000-0005-0000-0000-0000080D0000}"/>
    <cellStyle name="Normal 2 4 2 4 4 4" xfId="3332" xr:uid="{00000000-0005-0000-0000-0000090D0000}"/>
    <cellStyle name="Normal 2 4 2 4 4 4 2" xfId="7188" xr:uid="{00000000-0005-0000-0000-00000A0D0000}"/>
    <cellStyle name="Normal 2 4 2 4 4 4 3" xfId="9638" xr:uid="{00000000-0005-0000-0000-00000B0D0000}"/>
    <cellStyle name="Normal 2 4 2 4 4 5" xfId="4740" xr:uid="{00000000-0005-0000-0000-00000C0D0000}"/>
    <cellStyle name="Normal 2 4 2 4 4 6" xfId="8395" xr:uid="{00000000-0005-0000-0000-00000D0D0000}"/>
    <cellStyle name="Normal 2 4 2 4 5" xfId="1184" xr:uid="{00000000-0005-0000-0000-00000E0D0000}"/>
    <cellStyle name="Normal 2 4 2 4 5 2" xfId="2410" xr:uid="{00000000-0005-0000-0000-00000F0D0000}"/>
    <cellStyle name="Normal 2 4 2 4 5 2 2" xfId="6270" xr:uid="{00000000-0005-0000-0000-0000100D0000}"/>
    <cellStyle name="Normal 2 4 2 4 5 2 3" xfId="11222" xr:uid="{00000000-0005-0000-0000-0000110D0000}"/>
    <cellStyle name="Normal 2 4 2 4 5 3" xfId="3638" xr:uid="{00000000-0005-0000-0000-0000120D0000}"/>
    <cellStyle name="Normal 2 4 2 4 5 3 2" xfId="7494" xr:uid="{00000000-0005-0000-0000-0000130D0000}"/>
    <cellStyle name="Normal 2 4 2 4 5 3 3" xfId="9980" xr:uid="{00000000-0005-0000-0000-0000140D0000}"/>
    <cellStyle name="Normal 2 4 2 4 5 4" xfId="5046" xr:uid="{00000000-0005-0000-0000-0000150D0000}"/>
    <cellStyle name="Normal 2 4 2 4 5 5" xfId="8738" xr:uid="{00000000-0005-0000-0000-0000160D0000}"/>
    <cellStyle name="Normal 2 4 2 4 6" xfId="1798" xr:uid="{00000000-0005-0000-0000-0000170D0000}"/>
    <cellStyle name="Normal 2 4 2 4 6 2" xfId="5658" xr:uid="{00000000-0005-0000-0000-0000180D0000}"/>
    <cellStyle name="Normal 2 4 2 4 6 3" xfId="10592" xr:uid="{00000000-0005-0000-0000-0000190D0000}"/>
    <cellStyle name="Normal 2 4 2 4 7" xfId="3025" xr:uid="{00000000-0005-0000-0000-00001A0D0000}"/>
    <cellStyle name="Normal 2 4 2 4 7 2" xfId="6882" xr:uid="{00000000-0005-0000-0000-00001B0D0000}"/>
    <cellStyle name="Normal 2 4 2 4 7 3" xfId="11798" xr:uid="{00000000-0005-0000-0000-00001C0D0000}"/>
    <cellStyle name="Normal 2 4 2 4 8" xfId="4434" xr:uid="{00000000-0005-0000-0000-00001D0D0000}"/>
    <cellStyle name="Normal 2 4 2 4 8 2" xfId="9350" xr:uid="{00000000-0005-0000-0000-00001E0D0000}"/>
    <cellStyle name="Normal 2 4 2 4 9" xfId="8107" xr:uid="{00000000-0005-0000-0000-00001F0D0000}"/>
    <cellStyle name="Normal 2 4 2 5" xfId="688" xr:uid="{00000000-0005-0000-0000-0000200D0000}"/>
    <cellStyle name="Normal 2 4 2 5 2" xfId="1038" xr:uid="{00000000-0005-0000-0000-0000210D0000}"/>
    <cellStyle name="Normal 2 4 2 5 2 2" xfId="1652" xr:uid="{00000000-0005-0000-0000-0000220D0000}"/>
    <cellStyle name="Normal 2 4 2 5 2 2 2" xfId="2878" xr:uid="{00000000-0005-0000-0000-0000230D0000}"/>
    <cellStyle name="Normal 2 4 2 5 2 2 2 2" xfId="6738" xr:uid="{00000000-0005-0000-0000-0000240D0000}"/>
    <cellStyle name="Normal 2 4 2 5 2 2 2 3" xfId="11690" xr:uid="{00000000-0005-0000-0000-0000250D0000}"/>
    <cellStyle name="Normal 2 4 2 5 2 2 3" xfId="4106" xr:uid="{00000000-0005-0000-0000-0000260D0000}"/>
    <cellStyle name="Normal 2 4 2 5 2 2 3 2" xfId="7962" xr:uid="{00000000-0005-0000-0000-0000270D0000}"/>
    <cellStyle name="Normal 2 4 2 5 2 2 3 3" xfId="10448" xr:uid="{00000000-0005-0000-0000-0000280D0000}"/>
    <cellStyle name="Normal 2 4 2 5 2 2 4" xfId="5514" xr:uid="{00000000-0005-0000-0000-0000290D0000}"/>
    <cellStyle name="Normal 2 4 2 5 2 2 5" xfId="9206" xr:uid="{00000000-0005-0000-0000-00002A0D0000}"/>
    <cellStyle name="Normal 2 4 2 5 2 3" xfId="2266" xr:uid="{00000000-0005-0000-0000-00002B0D0000}"/>
    <cellStyle name="Normal 2 4 2 5 2 3 2" xfId="6126" xr:uid="{00000000-0005-0000-0000-00002C0D0000}"/>
    <cellStyle name="Normal 2 4 2 5 2 3 3" xfId="11042" xr:uid="{00000000-0005-0000-0000-00002D0D0000}"/>
    <cellStyle name="Normal 2 4 2 5 2 4" xfId="3494" xr:uid="{00000000-0005-0000-0000-00002E0D0000}"/>
    <cellStyle name="Normal 2 4 2 5 2 4 2" xfId="7350" xr:uid="{00000000-0005-0000-0000-00002F0D0000}"/>
    <cellStyle name="Normal 2 4 2 5 2 4 3" xfId="9800" xr:uid="{00000000-0005-0000-0000-0000300D0000}"/>
    <cellStyle name="Normal 2 4 2 5 2 5" xfId="4902" xr:uid="{00000000-0005-0000-0000-0000310D0000}"/>
    <cellStyle name="Normal 2 4 2 5 2 6" xfId="8557" xr:uid="{00000000-0005-0000-0000-0000320D0000}"/>
    <cellStyle name="Normal 2 4 2 5 3" xfId="1346" xr:uid="{00000000-0005-0000-0000-0000330D0000}"/>
    <cellStyle name="Normal 2 4 2 5 3 2" xfId="2572" xr:uid="{00000000-0005-0000-0000-0000340D0000}"/>
    <cellStyle name="Normal 2 4 2 5 3 2 2" xfId="6432" xr:uid="{00000000-0005-0000-0000-0000350D0000}"/>
    <cellStyle name="Normal 2 4 2 5 3 2 3" xfId="11384" xr:uid="{00000000-0005-0000-0000-0000360D0000}"/>
    <cellStyle name="Normal 2 4 2 5 3 3" xfId="3800" xr:uid="{00000000-0005-0000-0000-0000370D0000}"/>
    <cellStyle name="Normal 2 4 2 5 3 3 2" xfId="7656" xr:uid="{00000000-0005-0000-0000-0000380D0000}"/>
    <cellStyle name="Normal 2 4 2 5 3 3 3" xfId="10142" xr:uid="{00000000-0005-0000-0000-0000390D0000}"/>
    <cellStyle name="Normal 2 4 2 5 3 4" xfId="5208" xr:uid="{00000000-0005-0000-0000-00003A0D0000}"/>
    <cellStyle name="Normal 2 4 2 5 3 5" xfId="8900" xr:uid="{00000000-0005-0000-0000-00003B0D0000}"/>
    <cellStyle name="Normal 2 4 2 5 4" xfId="1960" xr:uid="{00000000-0005-0000-0000-00003C0D0000}"/>
    <cellStyle name="Normal 2 4 2 5 4 2" xfId="5820" xr:uid="{00000000-0005-0000-0000-00003D0D0000}"/>
    <cellStyle name="Normal 2 4 2 5 4 3" xfId="10754" xr:uid="{00000000-0005-0000-0000-00003E0D0000}"/>
    <cellStyle name="Normal 2 4 2 5 5" xfId="3187" xr:uid="{00000000-0005-0000-0000-00003F0D0000}"/>
    <cellStyle name="Normal 2 4 2 5 5 2" xfId="7044" xr:uid="{00000000-0005-0000-0000-0000400D0000}"/>
    <cellStyle name="Normal 2 4 2 5 5 3" xfId="11960" xr:uid="{00000000-0005-0000-0000-0000410D0000}"/>
    <cellStyle name="Normal 2 4 2 5 6" xfId="4596" xr:uid="{00000000-0005-0000-0000-0000420D0000}"/>
    <cellStyle name="Normal 2 4 2 5 6 2" xfId="9512" xr:uid="{00000000-0005-0000-0000-0000430D0000}"/>
    <cellStyle name="Normal 2 4 2 5 7" xfId="8269" xr:uid="{00000000-0005-0000-0000-0000440D0000}"/>
    <cellStyle name="Normal 2 4 2 6" xfId="598" xr:uid="{00000000-0005-0000-0000-0000450D0000}"/>
    <cellStyle name="Normal 2 4 2 6 2" xfId="948" xr:uid="{00000000-0005-0000-0000-0000460D0000}"/>
    <cellStyle name="Normal 2 4 2 6 2 2" xfId="1562" xr:uid="{00000000-0005-0000-0000-0000470D0000}"/>
    <cellStyle name="Normal 2 4 2 6 2 2 2" xfId="2788" xr:uid="{00000000-0005-0000-0000-0000480D0000}"/>
    <cellStyle name="Normal 2 4 2 6 2 2 2 2" xfId="6648" xr:uid="{00000000-0005-0000-0000-0000490D0000}"/>
    <cellStyle name="Normal 2 4 2 6 2 2 2 3" xfId="11600" xr:uid="{00000000-0005-0000-0000-00004A0D0000}"/>
    <cellStyle name="Normal 2 4 2 6 2 2 3" xfId="4016" xr:uid="{00000000-0005-0000-0000-00004B0D0000}"/>
    <cellStyle name="Normal 2 4 2 6 2 2 3 2" xfId="7872" xr:uid="{00000000-0005-0000-0000-00004C0D0000}"/>
    <cellStyle name="Normal 2 4 2 6 2 2 3 3" xfId="10358" xr:uid="{00000000-0005-0000-0000-00004D0D0000}"/>
    <cellStyle name="Normal 2 4 2 6 2 2 4" xfId="5424" xr:uid="{00000000-0005-0000-0000-00004E0D0000}"/>
    <cellStyle name="Normal 2 4 2 6 2 2 5" xfId="9116" xr:uid="{00000000-0005-0000-0000-00004F0D0000}"/>
    <cellStyle name="Normal 2 4 2 6 2 3" xfId="2176" xr:uid="{00000000-0005-0000-0000-0000500D0000}"/>
    <cellStyle name="Normal 2 4 2 6 2 3 2" xfId="6036" xr:uid="{00000000-0005-0000-0000-0000510D0000}"/>
    <cellStyle name="Normal 2 4 2 6 2 3 3" xfId="10952" xr:uid="{00000000-0005-0000-0000-0000520D0000}"/>
    <cellStyle name="Normal 2 4 2 6 2 4" xfId="3404" xr:uid="{00000000-0005-0000-0000-0000530D0000}"/>
    <cellStyle name="Normal 2 4 2 6 2 4 2" xfId="7260" xr:uid="{00000000-0005-0000-0000-0000540D0000}"/>
    <cellStyle name="Normal 2 4 2 6 2 4 3" xfId="9710" xr:uid="{00000000-0005-0000-0000-0000550D0000}"/>
    <cellStyle name="Normal 2 4 2 6 2 5" xfId="4812" xr:uid="{00000000-0005-0000-0000-0000560D0000}"/>
    <cellStyle name="Normal 2 4 2 6 2 6" xfId="8467" xr:uid="{00000000-0005-0000-0000-0000570D0000}"/>
    <cellStyle name="Normal 2 4 2 6 3" xfId="1256" xr:uid="{00000000-0005-0000-0000-0000580D0000}"/>
    <cellStyle name="Normal 2 4 2 6 3 2" xfId="2482" xr:uid="{00000000-0005-0000-0000-0000590D0000}"/>
    <cellStyle name="Normal 2 4 2 6 3 2 2" xfId="6342" xr:uid="{00000000-0005-0000-0000-00005A0D0000}"/>
    <cellStyle name="Normal 2 4 2 6 3 2 3" xfId="11294" xr:uid="{00000000-0005-0000-0000-00005B0D0000}"/>
    <cellStyle name="Normal 2 4 2 6 3 3" xfId="3710" xr:uid="{00000000-0005-0000-0000-00005C0D0000}"/>
    <cellStyle name="Normal 2 4 2 6 3 3 2" xfId="7566" xr:uid="{00000000-0005-0000-0000-00005D0D0000}"/>
    <cellStyle name="Normal 2 4 2 6 3 3 3" xfId="10052" xr:uid="{00000000-0005-0000-0000-00005E0D0000}"/>
    <cellStyle name="Normal 2 4 2 6 3 4" xfId="5118" xr:uid="{00000000-0005-0000-0000-00005F0D0000}"/>
    <cellStyle name="Normal 2 4 2 6 3 5" xfId="8810" xr:uid="{00000000-0005-0000-0000-0000600D0000}"/>
    <cellStyle name="Normal 2 4 2 6 4" xfId="1870" xr:uid="{00000000-0005-0000-0000-0000610D0000}"/>
    <cellStyle name="Normal 2 4 2 6 4 2" xfId="5730" xr:uid="{00000000-0005-0000-0000-0000620D0000}"/>
    <cellStyle name="Normal 2 4 2 6 4 3" xfId="10664" xr:uid="{00000000-0005-0000-0000-0000630D0000}"/>
    <cellStyle name="Normal 2 4 2 6 5" xfId="3097" xr:uid="{00000000-0005-0000-0000-0000640D0000}"/>
    <cellStyle name="Normal 2 4 2 6 5 2" xfId="6954" xr:uid="{00000000-0005-0000-0000-0000650D0000}"/>
    <cellStyle name="Normal 2 4 2 6 5 3" xfId="11870" xr:uid="{00000000-0005-0000-0000-0000660D0000}"/>
    <cellStyle name="Normal 2 4 2 6 6" xfId="4506" xr:uid="{00000000-0005-0000-0000-0000670D0000}"/>
    <cellStyle name="Normal 2 4 2 6 6 2" xfId="9422" xr:uid="{00000000-0005-0000-0000-0000680D0000}"/>
    <cellStyle name="Normal 2 4 2 6 7" xfId="8179" xr:uid="{00000000-0005-0000-0000-0000690D0000}"/>
    <cellStyle name="Normal 2 4 2 7" xfId="484" xr:uid="{00000000-0005-0000-0000-00006A0D0000}"/>
    <cellStyle name="Normal 2 4 2 7 2" xfId="834" xr:uid="{00000000-0005-0000-0000-00006B0D0000}"/>
    <cellStyle name="Normal 2 4 2 7 2 2" xfId="1472" xr:uid="{00000000-0005-0000-0000-00006C0D0000}"/>
    <cellStyle name="Normal 2 4 2 7 2 2 2" xfId="2698" xr:uid="{00000000-0005-0000-0000-00006D0D0000}"/>
    <cellStyle name="Normal 2 4 2 7 2 2 2 2" xfId="6558" xr:uid="{00000000-0005-0000-0000-00006E0D0000}"/>
    <cellStyle name="Normal 2 4 2 7 2 2 2 3" xfId="11510" xr:uid="{00000000-0005-0000-0000-00006F0D0000}"/>
    <cellStyle name="Normal 2 4 2 7 2 2 3" xfId="3926" xr:uid="{00000000-0005-0000-0000-0000700D0000}"/>
    <cellStyle name="Normal 2 4 2 7 2 2 3 2" xfId="7782" xr:uid="{00000000-0005-0000-0000-0000710D0000}"/>
    <cellStyle name="Normal 2 4 2 7 2 2 3 3" xfId="10268" xr:uid="{00000000-0005-0000-0000-0000720D0000}"/>
    <cellStyle name="Normal 2 4 2 7 2 2 4" xfId="5334" xr:uid="{00000000-0005-0000-0000-0000730D0000}"/>
    <cellStyle name="Normal 2 4 2 7 2 2 5" xfId="9026" xr:uid="{00000000-0005-0000-0000-0000740D0000}"/>
    <cellStyle name="Normal 2 4 2 7 2 3" xfId="2086" xr:uid="{00000000-0005-0000-0000-0000750D0000}"/>
    <cellStyle name="Normal 2 4 2 7 2 3 2" xfId="5946" xr:uid="{00000000-0005-0000-0000-0000760D0000}"/>
    <cellStyle name="Normal 2 4 2 7 2 3 3" xfId="10862" xr:uid="{00000000-0005-0000-0000-0000770D0000}"/>
    <cellStyle name="Normal 2 4 2 7 2 4" xfId="3314" xr:uid="{00000000-0005-0000-0000-0000780D0000}"/>
    <cellStyle name="Normal 2 4 2 7 2 4 2" xfId="7170" xr:uid="{00000000-0005-0000-0000-0000790D0000}"/>
    <cellStyle name="Normal 2 4 2 7 2 4 3" xfId="9620" xr:uid="{00000000-0005-0000-0000-00007A0D0000}"/>
    <cellStyle name="Normal 2 4 2 7 2 5" xfId="4722" xr:uid="{00000000-0005-0000-0000-00007B0D0000}"/>
    <cellStyle name="Normal 2 4 2 7 2 6" xfId="8377" xr:uid="{00000000-0005-0000-0000-00007C0D0000}"/>
    <cellStyle name="Normal 2 4 2 7 3" xfId="1166" xr:uid="{00000000-0005-0000-0000-00007D0D0000}"/>
    <cellStyle name="Normal 2 4 2 7 3 2" xfId="2392" xr:uid="{00000000-0005-0000-0000-00007E0D0000}"/>
    <cellStyle name="Normal 2 4 2 7 3 2 2" xfId="6252" xr:uid="{00000000-0005-0000-0000-00007F0D0000}"/>
    <cellStyle name="Normal 2 4 2 7 3 2 3" xfId="11204" xr:uid="{00000000-0005-0000-0000-0000800D0000}"/>
    <cellStyle name="Normal 2 4 2 7 3 3" xfId="3620" xr:uid="{00000000-0005-0000-0000-0000810D0000}"/>
    <cellStyle name="Normal 2 4 2 7 3 3 2" xfId="7476" xr:uid="{00000000-0005-0000-0000-0000820D0000}"/>
    <cellStyle name="Normal 2 4 2 7 3 3 3" xfId="9962" xr:uid="{00000000-0005-0000-0000-0000830D0000}"/>
    <cellStyle name="Normal 2 4 2 7 3 4" xfId="5028" xr:uid="{00000000-0005-0000-0000-0000840D0000}"/>
    <cellStyle name="Normal 2 4 2 7 3 5" xfId="8720" xr:uid="{00000000-0005-0000-0000-0000850D0000}"/>
    <cellStyle name="Normal 2 4 2 7 4" xfId="1780" xr:uid="{00000000-0005-0000-0000-0000860D0000}"/>
    <cellStyle name="Normal 2 4 2 7 4 2" xfId="5640" xr:uid="{00000000-0005-0000-0000-0000870D0000}"/>
    <cellStyle name="Normal 2 4 2 7 4 3" xfId="10574" xr:uid="{00000000-0005-0000-0000-0000880D0000}"/>
    <cellStyle name="Normal 2 4 2 7 5" xfId="3007" xr:uid="{00000000-0005-0000-0000-0000890D0000}"/>
    <cellStyle name="Normal 2 4 2 7 5 2" xfId="6864" xr:uid="{00000000-0005-0000-0000-00008A0D0000}"/>
    <cellStyle name="Normal 2 4 2 7 5 3" xfId="12050" xr:uid="{00000000-0005-0000-0000-00008B0D0000}"/>
    <cellStyle name="Normal 2 4 2 7 6" xfId="4416" xr:uid="{00000000-0005-0000-0000-00008C0D0000}"/>
    <cellStyle name="Normal 2 4 2 7 6 2" xfId="9332" xr:uid="{00000000-0005-0000-0000-00008D0D0000}"/>
    <cellStyle name="Normal 2 4 2 7 7" xfId="8089" xr:uid="{00000000-0005-0000-0000-00008E0D0000}"/>
    <cellStyle name="Normal 2 4 2 8" xfId="796" xr:uid="{00000000-0005-0000-0000-00008F0D0000}"/>
    <cellStyle name="Normal 2 4 2 8 2" xfId="1436" xr:uid="{00000000-0005-0000-0000-0000900D0000}"/>
    <cellStyle name="Normal 2 4 2 8 2 2" xfId="2662" xr:uid="{00000000-0005-0000-0000-0000910D0000}"/>
    <cellStyle name="Normal 2 4 2 8 2 2 2" xfId="6522" xr:uid="{00000000-0005-0000-0000-0000920D0000}"/>
    <cellStyle name="Normal 2 4 2 8 2 2 3" xfId="11474" xr:uid="{00000000-0005-0000-0000-0000930D0000}"/>
    <cellStyle name="Normal 2 4 2 8 2 3" xfId="3890" xr:uid="{00000000-0005-0000-0000-0000940D0000}"/>
    <cellStyle name="Normal 2 4 2 8 2 3 2" xfId="7746" xr:uid="{00000000-0005-0000-0000-0000950D0000}"/>
    <cellStyle name="Normal 2 4 2 8 2 3 3" xfId="10232" xr:uid="{00000000-0005-0000-0000-0000960D0000}"/>
    <cellStyle name="Normal 2 4 2 8 2 4" xfId="5298" xr:uid="{00000000-0005-0000-0000-0000970D0000}"/>
    <cellStyle name="Normal 2 4 2 8 2 5" xfId="8990" xr:uid="{00000000-0005-0000-0000-0000980D0000}"/>
    <cellStyle name="Normal 2 4 2 8 3" xfId="2050" xr:uid="{00000000-0005-0000-0000-0000990D0000}"/>
    <cellStyle name="Normal 2 4 2 8 3 2" xfId="5910" xr:uid="{00000000-0005-0000-0000-00009A0D0000}"/>
    <cellStyle name="Normal 2 4 2 8 3 3" xfId="10844" xr:uid="{00000000-0005-0000-0000-00009B0D0000}"/>
    <cellStyle name="Normal 2 4 2 8 4" xfId="3278" xr:uid="{00000000-0005-0000-0000-00009C0D0000}"/>
    <cellStyle name="Normal 2 4 2 8 4 2" xfId="7134" xr:uid="{00000000-0005-0000-0000-00009D0D0000}"/>
    <cellStyle name="Normal 2 4 2 8 4 3" xfId="9602" xr:uid="{00000000-0005-0000-0000-00009E0D0000}"/>
    <cellStyle name="Normal 2 4 2 8 5" xfId="4686" xr:uid="{00000000-0005-0000-0000-00009F0D0000}"/>
    <cellStyle name="Normal 2 4 2 8 6" xfId="8359" xr:uid="{00000000-0005-0000-0000-0000A00D0000}"/>
    <cellStyle name="Normal 2 4 2 9" xfId="1130" xr:uid="{00000000-0005-0000-0000-0000A10D0000}"/>
    <cellStyle name="Normal 2 4 2 9 2" xfId="2356" xr:uid="{00000000-0005-0000-0000-0000A20D0000}"/>
    <cellStyle name="Normal 2 4 2 9 2 2" xfId="6216" xr:uid="{00000000-0005-0000-0000-0000A30D0000}"/>
    <cellStyle name="Normal 2 4 2 9 2 3" xfId="11168" xr:uid="{00000000-0005-0000-0000-0000A40D0000}"/>
    <cellStyle name="Normal 2 4 2 9 3" xfId="3584" xr:uid="{00000000-0005-0000-0000-0000A50D0000}"/>
    <cellStyle name="Normal 2 4 2 9 3 2" xfId="7440" xr:uid="{00000000-0005-0000-0000-0000A60D0000}"/>
    <cellStyle name="Normal 2 4 2 9 3 3" xfId="9926" xr:uid="{00000000-0005-0000-0000-0000A70D0000}"/>
    <cellStyle name="Normal 2 4 2 9 4" xfId="4992" xr:uid="{00000000-0005-0000-0000-0000A80D0000}"/>
    <cellStyle name="Normal 2 4 2 9 5" xfId="8684" xr:uid="{00000000-0005-0000-0000-0000A90D0000}"/>
    <cellStyle name="Normal 2 4 3" xfId="465" xr:uid="{00000000-0005-0000-0000-0000AA0D0000}"/>
    <cellStyle name="Normal 2 4 3 10" xfId="4397" xr:uid="{00000000-0005-0000-0000-0000AB0D0000}"/>
    <cellStyle name="Normal 2 4 3 10 2" xfId="9313" xr:uid="{00000000-0005-0000-0000-0000AC0D0000}"/>
    <cellStyle name="Normal 2 4 3 11" xfId="8070" xr:uid="{00000000-0005-0000-0000-0000AD0D0000}"/>
    <cellStyle name="Normal 2 4 3 2" xfId="578" xr:uid="{00000000-0005-0000-0000-0000AE0D0000}"/>
    <cellStyle name="Normal 2 4 3 2 2" xfId="759" xr:uid="{00000000-0005-0000-0000-0000AF0D0000}"/>
    <cellStyle name="Normal 2 4 3 2 2 2" xfId="1109" xr:uid="{00000000-0005-0000-0000-0000B00D0000}"/>
    <cellStyle name="Normal 2 4 3 2 2 2 2" xfId="1723" xr:uid="{00000000-0005-0000-0000-0000B10D0000}"/>
    <cellStyle name="Normal 2 4 3 2 2 2 2 2" xfId="2949" xr:uid="{00000000-0005-0000-0000-0000B20D0000}"/>
    <cellStyle name="Normal 2 4 3 2 2 2 2 2 2" xfId="6809" xr:uid="{00000000-0005-0000-0000-0000B30D0000}"/>
    <cellStyle name="Normal 2 4 3 2 2 2 2 2 3" xfId="11761" xr:uid="{00000000-0005-0000-0000-0000B40D0000}"/>
    <cellStyle name="Normal 2 4 3 2 2 2 2 3" xfId="4177" xr:uid="{00000000-0005-0000-0000-0000B50D0000}"/>
    <cellStyle name="Normal 2 4 3 2 2 2 2 3 2" xfId="8033" xr:uid="{00000000-0005-0000-0000-0000B60D0000}"/>
    <cellStyle name="Normal 2 4 3 2 2 2 2 3 3" xfId="10519" xr:uid="{00000000-0005-0000-0000-0000B70D0000}"/>
    <cellStyle name="Normal 2 4 3 2 2 2 2 4" xfId="5585" xr:uid="{00000000-0005-0000-0000-0000B80D0000}"/>
    <cellStyle name="Normal 2 4 3 2 2 2 2 5" xfId="9277" xr:uid="{00000000-0005-0000-0000-0000B90D0000}"/>
    <cellStyle name="Normal 2 4 3 2 2 2 3" xfId="2337" xr:uid="{00000000-0005-0000-0000-0000BA0D0000}"/>
    <cellStyle name="Normal 2 4 3 2 2 2 3 2" xfId="6197" xr:uid="{00000000-0005-0000-0000-0000BB0D0000}"/>
    <cellStyle name="Normal 2 4 3 2 2 2 3 3" xfId="11113" xr:uid="{00000000-0005-0000-0000-0000BC0D0000}"/>
    <cellStyle name="Normal 2 4 3 2 2 2 4" xfId="3565" xr:uid="{00000000-0005-0000-0000-0000BD0D0000}"/>
    <cellStyle name="Normal 2 4 3 2 2 2 4 2" xfId="7421" xr:uid="{00000000-0005-0000-0000-0000BE0D0000}"/>
    <cellStyle name="Normal 2 4 3 2 2 2 4 3" xfId="9871" xr:uid="{00000000-0005-0000-0000-0000BF0D0000}"/>
    <cellStyle name="Normal 2 4 3 2 2 2 5" xfId="4973" xr:uid="{00000000-0005-0000-0000-0000C00D0000}"/>
    <cellStyle name="Normal 2 4 3 2 2 2 6" xfId="8628" xr:uid="{00000000-0005-0000-0000-0000C10D0000}"/>
    <cellStyle name="Normal 2 4 3 2 2 3" xfId="1417" xr:uid="{00000000-0005-0000-0000-0000C20D0000}"/>
    <cellStyle name="Normal 2 4 3 2 2 3 2" xfId="2643" xr:uid="{00000000-0005-0000-0000-0000C30D0000}"/>
    <cellStyle name="Normal 2 4 3 2 2 3 2 2" xfId="6503" xr:uid="{00000000-0005-0000-0000-0000C40D0000}"/>
    <cellStyle name="Normal 2 4 3 2 2 3 2 3" xfId="11455" xr:uid="{00000000-0005-0000-0000-0000C50D0000}"/>
    <cellStyle name="Normal 2 4 3 2 2 3 3" xfId="3871" xr:uid="{00000000-0005-0000-0000-0000C60D0000}"/>
    <cellStyle name="Normal 2 4 3 2 2 3 3 2" xfId="7727" xr:uid="{00000000-0005-0000-0000-0000C70D0000}"/>
    <cellStyle name="Normal 2 4 3 2 2 3 3 3" xfId="10213" xr:uid="{00000000-0005-0000-0000-0000C80D0000}"/>
    <cellStyle name="Normal 2 4 3 2 2 3 4" xfId="5279" xr:uid="{00000000-0005-0000-0000-0000C90D0000}"/>
    <cellStyle name="Normal 2 4 3 2 2 3 5" xfId="8971" xr:uid="{00000000-0005-0000-0000-0000CA0D0000}"/>
    <cellStyle name="Normal 2 4 3 2 2 4" xfId="2031" xr:uid="{00000000-0005-0000-0000-0000CB0D0000}"/>
    <cellStyle name="Normal 2 4 3 2 2 4 2" xfId="5891" xr:uid="{00000000-0005-0000-0000-0000CC0D0000}"/>
    <cellStyle name="Normal 2 4 3 2 2 4 3" xfId="10825" xr:uid="{00000000-0005-0000-0000-0000CD0D0000}"/>
    <cellStyle name="Normal 2 4 3 2 2 5" xfId="3258" xr:uid="{00000000-0005-0000-0000-0000CE0D0000}"/>
    <cellStyle name="Normal 2 4 3 2 2 5 2" xfId="7115" xr:uid="{00000000-0005-0000-0000-0000CF0D0000}"/>
    <cellStyle name="Normal 2 4 3 2 2 5 3" xfId="12031" xr:uid="{00000000-0005-0000-0000-0000D00D0000}"/>
    <cellStyle name="Normal 2 4 3 2 2 6" xfId="4667" xr:uid="{00000000-0005-0000-0000-0000D10D0000}"/>
    <cellStyle name="Normal 2 4 3 2 2 6 2" xfId="9583" xr:uid="{00000000-0005-0000-0000-0000D20D0000}"/>
    <cellStyle name="Normal 2 4 3 2 2 7" xfId="8340" xr:uid="{00000000-0005-0000-0000-0000D30D0000}"/>
    <cellStyle name="Normal 2 4 3 2 3" xfId="669" xr:uid="{00000000-0005-0000-0000-0000D40D0000}"/>
    <cellStyle name="Normal 2 4 3 2 3 2" xfId="1019" xr:uid="{00000000-0005-0000-0000-0000D50D0000}"/>
    <cellStyle name="Normal 2 4 3 2 3 2 2" xfId="1633" xr:uid="{00000000-0005-0000-0000-0000D60D0000}"/>
    <cellStyle name="Normal 2 4 3 2 3 2 2 2" xfId="2859" xr:uid="{00000000-0005-0000-0000-0000D70D0000}"/>
    <cellStyle name="Normal 2 4 3 2 3 2 2 2 2" xfId="6719" xr:uid="{00000000-0005-0000-0000-0000D80D0000}"/>
    <cellStyle name="Normal 2 4 3 2 3 2 2 2 3" xfId="11671" xr:uid="{00000000-0005-0000-0000-0000D90D0000}"/>
    <cellStyle name="Normal 2 4 3 2 3 2 2 3" xfId="4087" xr:uid="{00000000-0005-0000-0000-0000DA0D0000}"/>
    <cellStyle name="Normal 2 4 3 2 3 2 2 3 2" xfId="7943" xr:uid="{00000000-0005-0000-0000-0000DB0D0000}"/>
    <cellStyle name="Normal 2 4 3 2 3 2 2 3 3" xfId="10429" xr:uid="{00000000-0005-0000-0000-0000DC0D0000}"/>
    <cellStyle name="Normal 2 4 3 2 3 2 2 4" xfId="5495" xr:uid="{00000000-0005-0000-0000-0000DD0D0000}"/>
    <cellStyle name="Normal 2 4 3 2 3 2 2 5" xfId="9187" xr:uid="{00000000-0005-0000-0000-0000DE0D0000}"/>
    <cellStyle name="Normal 2 4 3 2 3 2 3" xfId="2247" xr:uid="{00000000-0005-0000-0000-0000DF0D0000}"/>
    <cellStyle name="Normal 2 4 3 2 3 2 3 2" xfId="6107" xr:uid="{00000000-0005-0000-0000-0000E00D0000}"/>
    <cellStyle name="Normal 2 4 3 2 3 2 3 3" xfId="11023" xr:uid="{00000000-0005-0000-0000-0000E10D0000}"/>
    <cellStyle name="Normal 2 4 3 2 3 2 4" xfId="3475" xr:uid="{00000000-0005-0000-0000-0000E20D0000}"/>
    <cellStyle name="Normal 2 4 3 2 3 2 4 2" xfId="7331" xr:uid="{00000000-0005-0000-0000-0000E30D0000}"/>
    <cellStyle name="Normal 2 4 3 2 3 2 4 3" xfId="9781" xr:uid="{00000000-0005-0000-0000-0000E40D0000}"/>
    <cellStyle name="Normal 2 4 3 2 3 2 5" xfId="4883" xr:uid="{00000000-0005-0000-0000-0000E50D0000}"/>
    <cellStyle name="Normal 2 4 3 2 3 2 6" xfId="8538" xr:uid="{00000000-0005-0000-0000-0000E60D0000}"/>
    <cellStyle name="Normal 2 4 3 2 3 3" xfId="1327" xr:uid="{00000000-0005-0000-0000-0000E70D0000}"/>
    <cellStyle name="Normal 2 4 3 2 3 3 2" xfId="2553" xr:uid="{00000000-0005-0000-0000-0000E80D0000}"/>
    <cellStyle name="Normal 2 4 3 2 3 3 2 2" xfId="6413" xr:uid="{00000000-0005-0000-0000-0000E90D0000}"/>
    <cellStyle name="Normal 2 4 3 2 3 3 2 3" xfId="11365" xr:uid="{00000000-0005-0000-0000-0000EA0D0000}"/>
    <cellStyle name="Normal 2 4 3 2 3 3 3" xfId="3781" xr:uid="{00000000-0005-0000-0000-0000EB0D0000}"/>
    <cellStyle name="Normal 2 4 3 2 3 3 3 2" xfId="7637" xr:uid="{00000000-0005-0000-0000-0000EC0D0000}"/>
    <cellStyle name="Normal 2 4 3 2 3 3 3 3" xfId="10123" xr:uid="{00000000-0005-0000-0000-0000ED0D0000}"/>
    <cellStyle name="Normal 2 4 3 2 3 3 4" xfId="5189" xr:uid="{00000000-0005-0000-0000-0000EE0D0000}"/>
    <cellStyle name="Normal 2 4 3 2 3 3 5" xfId="8881" xr:uid="{00000000-0005-0000-0000-0000EF0D0000}"/>
    <cellStyle name="Normal 2 4 3 2 3 4" xfId="1941" xr:uid="{00000000-0005-0000-0000-0000F00D0000}"/>
    <cellStyle name="Normal 2 4 3 2 3 4 2" xfId="5801" xr:uid="{00000000-0005-0000-0000-0000F10D0000}"/>
    <cellStyle name="Normal 2 4 3 2 3 4 3" xfId="10735" xr:uid="{00000000-0005-0000-0000-0000F20D0000}"/>
    <cellStyle name="Normal 2 4 3 2 3 5" xfId="3168" xr:uid="{00000000-0005-0000-0000-0000F30D0000}"/>
    <cellStyle name="Normal 2 4 3 2 3 5 2" xfId="7025" xr:uid="{00000000-0005-0000-0000-0000F40D0000}"/>
    <cellStyle name="Normal 2 4 3 2 3 5 3" xfId="11941" xr:uid="{00000000-0005-0000-0000-0000F50D0000}"/>
    <cellStyle name="Normal 2 4 3 2 3 6" xfId="4577" xr:uid="{00000000-0005-0000-0000-0000F60D0000}"/>
    <cellStyle name="Normal 2 4 3 2 3 6 2" xfId="9493" xr:uid="{00000000-0005-0000-0000-0000F70D0000}"/>
    <cellStyle name="Normal 2 4 3 2 3 7" xfId="8250" xr:uid="{00000000-0005-0000-0000-0000F80D0000}"/>
    <cellStyle name="Normal 2 4 3 2 4" xfId="928" xr:uid="{00000000-0005-0000-0000-0000F90D0000}"/>
    <cellStyle name="Normal 2 4 3 2 4 2" xfId="1543" xr:uid="{00000000-0005-0000-0000-0000FA0D0000}"/>
    <cellStyle name="Normal 2 4 3 2 4 2 2" xfId="2769" xr:uid="{00000000-0005-0000-0000-0000FB0D0000}"/>
    <cellStyle name="Normal 2 4 3 2 4 2 2 2" xfId="6629" xr:uid="{00000000-0005-0000-0000-0000FC0D0000}"/>
    <cellStyle name="Normal 2 4 3 2 4 2 2 3" xfId="11581" xr:uid="{00000000-0005-0000-0000-0000FD0D0000}"/>
    <cellStyle name="Normal 2 4 3 2 4 2 3" xfId="3997" xr:uid="{00000000-0005-0000-0000-0000FE0D0000}"/>
    <cellStyle name="Normal 2 4 3 2 4 2 3 2" xfId="7853" xr:uid="{00000000-0005-0000-0000-0000FF0D0000}"/>
    <cellStyle name="Normal 2 4 3 2 4 2 3 3" xfId="10339" xr:uid="{00000000-0005-0000-0000-0000000E0000}"/>
    <cellStyle name="Normal 2 4 3 2 4 2 4" xfId="5405" xr:uid="{00000000-0005-0000-0000-0000010E0000}"/>
    <cellStyle name="Normal 2 4 3 2 4 2 5" xfId="9097" xr:uid="{00000000-0005-0000-0000-0000020E0000}"/>
    <cellStyle name="Normal 2 4 3 2 4 3" xfId="2157" xr:uid="{00000000-0005-0000-0000-0000030E0000}"/>
    <cellStyle name="Normal 2 4 3 2 4 3 2" xfId="6017" xr:uid="{00000000-0005-0000-0000-0000040E0000}"/>
    <cellStyle name="Normal 2 4 3 2 4 3 3" xfId="10933" xr:uid="{00000000-0005-0000-0000-0000050E0000}"/>
    <cellStyle name="Normal 2 4 3 2 4 4" xfId="3385" xr:uid="{00000000-0005-0000-0000-0000060E0000}"/>
    <cellStyle name="Normal 2 4 3 2 4 4 2" xfId="7241" xr:uid="{00000000-0005-0000-0000-0000070E0000}"/>
    <cellStyle name="Normal 2 4 3 2 4 4 3" xfId="9691" xr:uid="{00000000-0005-0000-0000-0000080E0000}"/>
    <cellStyle name="Normal 2 4 3 2 4 5" xfId="4793" xr:uid="{00000000-0005-0000-0000-0000090E0000}"/>
    <cellStyle name="Normal 2 4 3 2 4 6" xfId="8448" xr:uid="{00000000-0005-0000-0000-00000A0E0000}"/>
    <cellStyle name="Normal 2 4 3 2 5" xfId="1237" xr:uid="{00000000-0005-0000-0000-00000B0E0000}"/>
    <cellStyle name="Normal 2 4 3 2 5 2" xfId="2463" xr:uid="{00000000-0005-0000-0000-00000C0E0000}"/>
    <cellStyle name="Normal 2 4 3 2 5 2 2" xfId="6323" xr:uid="{00000000-0005-0000-0000-00000D0E0000}"/>
    <cellStyle name="Normal 2 4 3 2 5 2 3" xfId="11275" xr:uid="{00000000-0005-0000-0000-00000E0E0000}"/>
    <cellStyle name="Normal 2 4 3 2 5 3" xfId="3691" xr:uid="{00000000-0005-0000-0000-00000F0E0000}"/>
    <cellStyle name="Normal 2 4 3 2 5 3 2" xfId="7547" xr:uid="{00000000-0005-0000-0000-0000100E0000}"/>
    <cellStyle name="Normal 2 4 3 2 5 3 3" xfId="10033" xr:uid="{00000000-0005-0000-0000-0000110E0000}"/>
    <cellStyle name="Normal 2 4 3 2 5 4" xfId="5099" xr:uid="{00000000-0005-0000-0000-0000120E0000}"/>
    <cellStyle name="Normal 2 4 3 2 5 5" xfId="8791" xr:uid="{00000000-0005-0000-0000-0000130E0000}"/>
    <cellStyle name="Normal 2 4 3 2 6" xfId="1851" xr:uid="{00000000-0005-0000-0000-0000140E0000}"/>
    <cellStyle name="Normal 2 4 3 2 6 2" xfId="5711" xr:uid="{00000000-0005-0000-0000-0000150E0000}"/>
    <cellStyle name="Normal 2 4 3 2 6 3" xfId="10645" xr:uid="{00000000-0005-0000-0000-0000160E0000}"/>
    <cellStyle name="Normal 2 4 3 2 7" xfId="3078" xr:uid="{00000000-0005-0000-0000-0000170E0000}"/>
    <cellStyle name="Normal 2 4 3 2 7 2" xfId="6935" xr:uid="{00000000-0005-0000-0000-0000180E0000}"/>
    <cellStyle name="Normal 2 4 3 2 7 3" xfId="11851" xr:uid="{00000000-0005-0000-0000-0000190E0000}"/>
    <cellStyle name="Normal 2 4 3 2 8" xfId="4487" xr:uid="{00000000-0005-0000-0000-00001A0E0000}"/>
    <cellStyle name="Normal 2 4 3 2 8 2" xfId="9403" xr:uid="{00000000-0005-0000-0000-00001B0E0000}"/>
    <cellStyle name="Normal 2 4 3 2 9" xfId="8160" xr:uid="{00000000-0005-0000-0000-00001C0E0000}"/>
    <cellStyle name="Normal 2 4 3 3" xfId="723" xr:uid="{00000000-0005-0000-0000-00001D0E0000}"/>
    <cellStyle name="Normal 2 4 3 3 2" xfId="1073" xr:uid="{00000000-0005-0000-0000-00001E0E0000}"/>
    <cellStyle name="Normal 2 4 3 3 2 2" xfId="1687" xr:uid="{00000000-0005-0000-0000-00001F0E0000}"/>
    <cellStyle name="Normal 2 4 3 3 2 2 2" xfId="2913" xr:uid="{00000000-0005-0000-0000-0000200E0000}"/>
    <cellStyle name="Normal 2 4 3 3 2 2 2 2" xfId="6773" xr:uid="{00000000-0005-0000-0000-0000210E0000}"/>
    <cellStyle name="Normal 2 4 3 3 2 2 2 3" xfId="11725" xr:uid="{00000000-0005-0000-0000-0000220E0000}"/>
    <cellStyle name="Normal 2 4 3 3 2 2 3" xfId="4141" xr:uid="{00000000-0005-0000-0000-0000230E0000}"/>
    <cellStyle name="Normal 2 4 3 3 2 2 3 2" xfId="7997" xr:uid="{00000000-0005-0000-0000-0000240E0000}"/>
    <cellStyle name="Normal 2 4 3 3 2 2 3 3" xfId="10483" xr:uid="{00000000-0005-0000-0000-0000250E0000}"/>
    <cellStyle name="Normal 2 4 3 3 2 2 4" xfId="5549" xr:uid="{00000000-0005-0000-0000-0000260E0000}"/>
    <cellStyle name="Normal 2 4 3 3 2 2 5" xfId="9241" xr:uid="{00000000-0005-0000-0000-0000270E0000}"/>
    <cellStyle name="Normal 2 4 3 3 2 3" xfId="2301" xr:uid="{00000000-0005-0000-0000-0000280E0000}"/>
    <cellStyle name="Normal 2 4 3 3 2 3 2" xfId="6161" xr:uid="{00000000-0005-0000-0000-0000290E0000}"/>
    <cellStyle name="Normal 2 4 3 3 2 3 3" xfId="11077" xr:uid="{00000000-0005-0000-0000-00002A0E0000}"/>
    <cellStyle name="Normal 2 4 3 3 2 4" xfId="3529" xr:uid="{00000000-0005-0000-0000-00002B0E0000}"/>
    <cellStyle name="Normal 2 4 3 3 2 4 2" xfId="7385" xr:uid="{00000000-0005-0000-0000-00002C0E0000}"/>
    <cellStyle name="Normal 2 4 3 3 2 4 3" xfId="9835" xr:uid="{00000000-0005-0000-0000-00002D0E0000}"/>
    <cellStyle name="Normal 2 4 3 3 2 5" xfId="4937" xr:uid="{00000000-0005-0000-0000-00002E0E0000}"/>
    <cellStyle name="Normal 2 4 3 3 2 6" xfId="8592" xr:uid="{00000000-0005-0000-0000-00002F0E0000}"/>
    <cellStyle name="Normal 2 4 3 3 3" xfId="1381" xr:uid="{00000000-0005-0000-0000-0000300E0000}"/>
    <cellStyle name="Normal 2 4 3 3 3 2" xfId="2607" xr:uid="{00000000-0005-0000-0000-0000310E0000}"/>
    <cellStyle name="Normal 2 4 3 3 3 2 2" xfId="6467" xr:uid="{00000000-0005-0000-0000-0000320E0000}"/>
    <cellStyle name="Normal 2 4 3 3 3 2 3" xfId="11419" xr:uid="{00000000-0005-0000-0000-0000330E0000}"/>
    <cellStyle name="Normal 2 4 3 3 3 3" xfId="3835" xr:uid="{00000000-0005-0000-0000-0000340E0000}"/>
    <cellStyle name="Normal 2 4 3 3 3 3 2" xfId="7691" xr:uid="{00000000-0005-0000-0000-0000350E0000}"/>
    <cellStyle name="Normal 2 4 3 3 3 3 3" xfId="10177" xr:uid="{00000000-0005-0000-0000-0000360E0000}"/>
    <cellStyle name="Normal 2 4 3 3 3 4" xfId="5243" xr:uid="{00000000-0005-0000-0000-0000370E0000}"/>
    <cellStyle name="Normal 2 4 3 3 3 5" xfId="8935" xr:uid="{00000000-0005-0000-0000-0000380E0000}"/>
    <cellStyle name="Normal 2 4 3 3 4" xfId="1995" xr:uid="{00000000-0005-0000-0000-0000390E0000}"/>
    <cellStyle name="Normal 2 4 3 3 4 2" xfId="5855" xr:uid="{00000000-0005-0000-0000-00003A0E0000}"/>
    <cellStyle name="Normal 2 4 3 3 4 3" xfId="10789" xr:uid="{00000000-0005-0000-0000-00003B0E0000}"/>
    <cellStyle name="Normal 2 4 3 3 5" xfId="3222" xr:uid="{00000000-0005-0000-0000-00003C0E0000}"/>
    <cellStyle name="Normal 2 4 3 3 5 2" xfId="7079" xr:uid="{00000000-0005-0000-0000-00003D0E0000}"/>
    <cellStyle name="Normal 2 4 3 3 5 3" xfId="11995" xr:uid="{00000000-0005-0000-0000-00003E0E0000}"/>
    <cellStyle name="Normal 2 4 3 3 6" xfId="4631" xr:uid="{00000000-0005-0000-0000-00003F0E0000}"/>
    <cellStyle name="Normal 2 4 3 3 6 2" xfId="9547" xr:uid="{00000000-0005-0000-0000-0000400E0000}"/>
    <cellStyle name="Normal 2 4 3 3 7" xfId="8304" xr:uid="{00000000-0005-0000-0000-0000410E0000}"/>
    <cellStyle name="Normal 2 4 3 4" xfId="633" xr:uid="{00000000-0005-0000-0000-0000420E0000}"/>
    <cellStyle name="Normal 2 4 3 4 2" xfId="983" xr:uid="{00000000-0005-0000-0000-0000430E0000}"/>
    <cellStyle name="Normal 2 4 3 4 2 2" xfId="1597" xr:uid="{00000000-0005-0000-0000-0000440E0000}"/>
    <cellStyle name="Normal 2 4 3 4 2 2 2" xfId="2823" xr:uid="{00000000-0005-0000-0000-0000450E0000}"/>
    <cellStyle name="Normal 2 4 3 4 2 2 2 2" xfId="6683" xr:uid="{00000000-0005-0000-0000-0000460E0000}"/>
    <cellStyle name="Normal 2 4 3 4 2 2 2 3" xfId="11635" xr:uid="{00000000-0005-0000-0000-0000470E0000}"/>
    <cellStyle name="Normal 2 4 3 4 2 2 3" xfId="4051" xr:uid="{00000000-0005-0000-0000-0000480E0000}"/>
    <cellStyle name="Normal 2 4 3 4 2 2 3 2" xfId="7907" xr:uid="{00000000-0005-0000-0000-0000490E0000}"/>
    <cellStyle name="Normal 2 4 3 4 2 2 3 3" xfId="10393" xr:uid="{00000000-0005-0000-0000-00004A0E0000}"/>
    <cellStyle name="Normal 2 4 3 4 2 2 4" xfId="5459" xr:uid="{00000000-0005-0000-0000-00004B0E0000}"/>
    <cellStyle name="Normal 2 4 3 4 2 2 5" xfId="9151" xr:uid="{00000000-0005-0000-0000-00004C0E0000}"/>
    <cellStyle name="Normal 2 4 3 4 2 3" xfId="2211" xr:uid="{00000000-0005-0000-0000-00004D0E0000}"/>
    <cellStyle name="Normal 2 4 3 4 2 3 2" xfId="6071" xr:uid="{00000000-0005-0000-0000-00004E0E0000}"/>
    <cellStyle name="Normal 2 4 3 4 2 3 3" xfId="10987" xr:uid="{00000000-0005-0000-0000-00004F0E0000}"/>
    <cellStyle name="Normal 2 4 3 4 2 4" xfId="3439" xr:uid="{00000000-0005-0000-0000-0000500E0000}"/>
    <cellStyle name="Normal 2 4 3 4 2 4 2" xfId="7295" xr:uid="{00000000-0005-0000-0000-0000510E0000}"/>
    <cellStyle name="Normal 2 4 3 4 2 4 3" xfId="9745" xr:uid="{00000000-0005-0000-0000-0000520E0000}"/>
    <cellStyle name="Normal 2 4 3 4 2 5" xfId="4847" xr:uid="{00000000-0005-0000-0000-0000530E0000}"/>
    <cellStyle name="Normal 2 4 3 4 2 6" xfId="8502" xr:uid="{00000000-0005-0000-0000-0000540E0000}"/>
    <cellStyle name="Normal 2 4 3 4 3" xfId="1291" xr:uid="{00000000-0005-0000-0000-0000550E0000}"/>
    <cellStyle name="Normal 2 4 3 4 3 2" xfId="2517" xr:uid="{00000000-0005-0000-0000-0000560E0000}"/>
    <cellStyle name="Normal 2 4 3 4 3 2 2" xfId="6377" xr:uid="{00000000-0005-0000-0000-0000570E0000}"/>
    <cellStyle name="Normal 2 4 3 4 3 2 3" xfId="11329" xr:uid="{00000000-0005-0000-0000-0000580E0000}"/>
    <cellStyle name="Normal 2 4 3 4 3 3" xfId="3745" xr:uid="{00000000-0005-0000-0000-0000590E0000}"/>
    <cellStyle name="Normal 2 4 3 4 3 3 2" xfId="7601" xr:uid="{00000000-0005-0000-0000-00005A0E0000}"/>
    <cellStyle name="Normal 2 4 3 4 3 3 3" xfId="10087" xr:uid="{00000000-0005-0000-0000-00005B0E0000}"/>
    <cellStyle name="Normal 2 4 3 4 3 4" xfId="5153" xr:uid="{00000000-0005-0000-0000-00005C0E0000}"/>
    <cellStyle name="Normal 2 4 3 4 3 5" xfId="8845" xr:uid="{00000000-0005-0000-0000-00005D0E0000}"/>
    <cellStyle name="Normal 2 4 3 4 4" xfId="1905" xr:uid="{00000000-0005-0000-0000-00005E0E0000}"/>
    <cellStyle name="Normal 2 4 3 4 4 2" xfId="5765" xr:uid="{00000000-0005-0000-0000-00005F0E0000}"/>
    <cellStyle name="Normal 2 4 3 4 4 3" xfId="10699" xr:uid="{00000000-0005-0000-0000-0000600E0000}"/>
    <cellStyle name="Normal 2 4 3 4 5" xfId="3132" xr:uid="{00000000-0005-0000-0000-0000610E0000}"/>
    <cellStyle name="Normal 2 4 3 4 5 2" xfId="6989" xr:uid="{00000000-0005-0000-0000-0000620E0000}"/>
    <cellStyle name="Normal 2 4 3 4 5 3" xfId="11905" xr:uid="{00000000-0005-0000-0000-0000630E0000}"/>
    <cellStyle name="Normal 2 4 3 4 6" xfId="4541" xr:uid="{00000000-0005-0000-0000-0000640E0000}"/>
    <cellStyle name="Normal 2 4 3 4 6 2" xfId="9457" xr:uid="{00000000-0005-0000-0000-0000650E0000}"/>
    <cellStyle name="Normal 2 4 3 4 7" xfId="8214" xr:uid="{00000000-0005-0000-0000-0000660E0000}"/>
    <cellStyle name="Normal 2 4 3 5" xfId="539" xr:uid="{00000000-0005-0000-0000-0000670E0000}"/>
    <cellStyle name="Normal 2 4 3 5 2" xfId="889" xr:uid="{00000000-0005-0000-0000-0000680E0000}"/>
    <cellStyle name="Normal 2 4 3 5 2 2" xfId="1507" xr:uid="{00000000-0005-0000-0000-0000690E0000}"/>
    <cellStyle name="Normal 2 4 3 5 2 2 2" xfId="2733" xr:uid="{00000000-0005-0000-0000-00006A0E0000}"/>
    <cellStyle name="Normal 2 4 3 5 2 2 2 2" xfId="6593" xr:uid="{00000000-0005-0000-0000-00006B0E0000}"/>
    <cellStyle name="Normal 2 4 3 5 2 2 2 3" xfId="11545" xr:uid="{00000000-0005-0000-0000-00006C0E0000}"/>
    <cellStyle name="Normal 2 4 3 5 2 2 3" xfId="3961" xr:uid="{00000000-0005-0000-0000-00006D0E0000}"/>
    <cellStyle name="Normal 2 4 3 5 2 2 3 2" xfId="7817" xr:uid="{00000000-0005-0000-0000-00006E0E0000}"/>
    <cellStyle name="Normal 2 4 3 5 2 2 3 3" xfId="10303" xr:uid="{00000000-0005-0000-0000-00006F0E0000}"/>
    <cellStyle name="Normal 2 4 3 5 2 2 4" xfId="5369" xr:uid="{00000000-0005-0000-0000-0000700E0000}"/>
    <cellStyle name="Normal 2 4 3 5 2 2 5" xfId="9061" xr:uid="{00000000-0005-0000-0000-0000710E0000}"/>
    <cellStyle name="Normal 2 4 3 5 2 3" xfId="2121" xr:uid="{00000000-0005-0000-0000-0000720E0000}"/>
    <cellStyle name="Normal 2 4 3 5 2 3 2" xfId="5981" xr:uid="{00000000-0005-0000-0000-0000730E0000}"/>
    <cellStyle name="Normal 2 4 3 5 2 3 3" xfId="11149" xr:uid="{00000000-0005-0000-0000-0000740E0000}"/>
    <cellStyle name="Normal 2 4 3 5 2 4" xfId="3349" xr:uid="{00000000-0005-0000-0000-0000750E0000}"/>
    <cellStyle name="Normal 2 4 3 5 2 4 2" xfId="7205" xr:uid="{00000000-0005-0000-0000-0000760E0000}"/>
    <cellStyle name="Normal 2 4 3 5 2 4 3" xfId="9907" xr:uid="{00000000-0005-0000-0000-0000770E0000}"/>
    <cellStyle name="Normal 2 4 3 5 2 5" xfId="4757" xr:uid="{00000000-0005-0000-0000-0000780E0000}"/>
    <cellStyle name="Normal 2 4 3 5 2 6" xfId="8665" xr:uid="{00000000-0005-0000-0000-0000790E0000}"/>
    <cellStyle name="Normal 2 4 3 5 3" xfId="1201" xr:uid="{00000000-0005-0000-0000-00007A0E0000}"/>
    <cellStyle name="Normal 2 4 3 5 3 2" xfId="2427" xr:uid="{00000000-0005-0000-0000-00007B0E0000}"/>
    <cellStyle name="Normal 2 4 3 5 3 2 2" xfId="6287" xr:uid="{00000000-0005-0000-0000-00007C0E0000}"/>
    <cellStyle name="Normal 2 4 3 5 3 2 3" xfId="11239" xr:uid="{00000000-0005-0000-0000-00007D0E0000}"/>
    <cellStyle name="Normal 2 4 3 5 3 3" xfId="3655" xr:uid="{00000000-0005-0000-0000-00007E0E0000}"/>
    <cellStyle name="Normal 2 4 3 5 3 3 2" xfId="7511" xr:uid="{00000000-0005-0000-0000-00007F0E0000}"/>
    <cellStyle name="Normal 2 4 3 5 3 3 3" xfId="9997" xr:uid="{00000000-0005-0000-0000-0000800E0000}"/>
    <cellStyle name="Normal 2 4 3 5 3 4" xfId="5063" xr:uid="{00000000-0005-0000-0000-0000810E0000}"/>
    <cellStyle name="Normal 2 4 3 5 3 5" xfId="8755" xr:uid="{00000000-0005-0000-0000-0000820E0000}"/>
    <cellStyle name="Normal 2 4 3 5 4" xfId="1815" xr:uid="{00000000-0005-0000-0000-0000830E0000}"/>
    <cellStyle name="Normal 2 4 3 5 4 2" xfId="5675" xr:uid="{00000000-0005-0000-0000-0000840E0000}"/>
    <cellStyle name="Normal 2 4 3 5 4 2 2" xfId="11131" xr:uid="{00000000-0005-0000-0000-0000850E0000}"/>
    <cellStyle name="Normal 2 4 3 5 4 3" xfId="9889" xr:uid="{00000000-0005-0000-0000-0000860E0000}"/>
    <cellStyle name="Normal 2 4 3 5 4 4" xfId="8646" xr:uid="{00000000-0005-0000-0000-0000870E0000}"/>
    <cellStyle name="Normal 2 4 3 5 5" xfId="3042" xr:uid="{00000000-0005-0000-0000-0000880E0000}"/>
    <cellStyle name="Normal 2 4 3 5 5 2" xfId="6899" xr:uid="{00000000-0005-0000-0000-0000890E0000}"/>
    <cellStyle name="Normal 2 4 3 5 5 3" xfId="10609" xr:uid="{00000000-0005-0000-0000-00008A0E0000}"/>
    <cellStyle name="Normal 2 4 3 5 6" xfId="4451" xr:uid="{00000000-0005-0000-0000-00008B0E0000}"/>
    <cellStyle name="Normal 2 4 3 5 6 2" xfId="9367" xr:uid="{00000000-0005-0000-0000-00008C0E0000}"/>
    <cellStyle name="Normal 2 4 3 5 7" xfId="8124" xr:uid="{00000000-0005-0000-0000-00008D0E0000}"/>
    <cellStyle name="Normal 2 4 3 6" xfId="815" xr:uid="{00000000-0005-0000-0000-00008E0E0000}"/>
    <cellStyle name="Normal 2 4 3 6 2" xfId="1453" xr:uid="{00000000-0005-0000-0000-00008F0E0000}"/>
    <cellStyle name="Normal 2 4 3 6 2 2" xfId="2679" xr:uid="{00000000-0005-0000-0000-0000900E0000}"/>
    <cellStyle name="Normal 2 4 3 6 2 2 2" xfId="6539" xr:uid="{00000000-0005-0000-0000-0000910E0000}"/>
    <cellStyle name="Normal 2 4 3 6 2 2 3" xfId="11491" xr:uid="{00000000-0005-0000-0000-0000920E0000}"/>
    <cellStyle name="Normal 2 4 3 6 2 3" xfId="3907" xr:uid="{00000000-0005-0000-0000-0000930E0000}"/>
    <cellStyle name="Normal 2 4 3 6 2 3 2" xfId="7763" xr:uid="{00000000-0005-0000-0000-0000940E0000}"/>
    <cellStyle name="Normal 2 4 3 6 2 3 3" xfId="10249" xr:uid="{00000000-0005-0000-0000-0000950E0000}"/>
    <cellStyle name="Normal 2 4 3 6 2 4" xfId="5315" xr:uid="{00000000-0005-0000-0000-0000960E0000}"/>
    <cellStyle name="Normal 2 4 3 6 2 5" xfId="9007" xr:uid="{00000000-0005-0000-0000-0000970E0000}"/>
    <cellStyle name="Normal 2 4 3 6 3" xfId="2067" xr:uid="{00000000-0005-0000-0000-0000980E0000}"/>
    <cellStyle name="Normal 2 4 3 6 3 2" xfId="5927" xr:uid="{00000000-0005-0000-0000-0000990E0000}"/>
    <cellStyle name="Normal 2 4 3 6 3 3" xfId="10897" xr:uid="{00000000-0005-0000-0000-00009A0E0000}"/>
    <cellStyle name="Normal 2 4 3 6 4" xfId="3295" xr:uid="{00000000-0005-0000-0000-00009B0E0000}"/>
    <cellStyle name="Normal 2 4 3 6 4 2" xfId="7151" xr:uid="{00000000-0005-0000-0000-00009C0E0000}"/>
    <cellStyle name="Normal 2 4 3 6 4 3" xfId="9655" xr:uid="{00000000-0005-0000-0000-00009D0E0000}"/>
    <cellStyle name="Normal 2 4 3 6 5" xfId="4703" xr:uid="{00000000-0005-0000-0000-00009E0E0000}"/>
    <cellStyle name="Normal 2 4 3 6 6" xfId="8412" xr:uid="{00000000-0005-0000-0000-00009F0E0000}"/>
    <cellStyle name="Normal 2 4 3 7" xfId="1147" xr:uid="{00000000-0005-0000-0000-0000A00E0000}"/>
    <cellStyle name="Normal 2 4 3 7 2" xfId="2373" xr:uid="{00000000-0005-0000-0000-0000A10E0000}"/>
    <cellStyle name="Normal 2 4 3 7 2 2" xfId="6233" xr:uid="{00000000-0005-0000-0000-0000A20E0000}"/>
    <cellStyle name="Normal 2 4 3 7 2 3" xfId="11185" xr:uid="{00000000-0005-0000-0000-0000A30E0000}"/>
    <cellStyle name="Normal 2 4 3 7 3" xfId="3601" xr:uid="{00000000-0005-0000-0000-0000A40E0000}"/>
    <cellStyle name="Normal 2 4 3 7 3 2" xfId="7457" xr:uid="{00000000-0005-0000-0000-0000A50E0000}"/>
    <cellStyle name="Normal 2 4 3 7 3 3" xfId="9943" xr:uid="{00000000-0005-0000-0000-0000A60E0000}"/>
    <cellStyle name="Normal 2 4 3 7 4" xfId="5009" xr:uid="{00000000-0005-0000-0000-0000A70E0000}"/>
    <cellStyle name="Normal 2 4 3 7 5" xfId="8701" xr:uid="{00000000-0005-0000-0000-0000A80E0000}"/>
    <cellStyle name="Normal 2 4 3 8" xfId="1761" xr:uid="{00000000-0005-0000-0000-0000A90E0000}"/>
    <cellStyle name="Normal 2 4 3 8 2" xfId="5621" xr:uid="{00000000-0005-0000-0000-0000AA0E0000}"/>
    <cellStyle name="Normal 2 4 3 8 3" xfId="10555" xr:uid="{00000000-0005-0000-0000-0000AB0E0000}"/>
    <cellStyle name="Normal 2 4 3 9" xfId="2988" xr:uid="{00000000-0005-0000-0000-0000AC0E0000}"/>
    <cellStyle name="Normal 2 4 3 9 2" xfId="6845" xr:uid="{00000000-0005-0000-0000-0000AD0E0000}"/>
    <cellStyle name="Normal 2 4 3 9 3" xfId="11815" xr:uid="{00000000-0005-0000-0000-0000AE0E0000}"/>
    <cellStyle name="Normal 2 4 4" xfId="560" xr:uid="{00000000-0005-0000-0000-0000AF0E0000}"/>
    <cellStyle name="Normal 2 4 4 2" xfId="741" xr:uid="{00000000-0005-0000-0000-0000B00E0000}"/>
    <cellStyle name="Normal 2 4 4 2 2" xfId="1091" xr:uid="{00000000-0005-0000-0000-0000B10E0000}"/>
    <cellStyle name="Normal 2 4 4 2 2 2" xfId="1705" xr:uid="{00000000-0005-0000-0000-0000B20E0000}"/>
    <cellStyle name="Normal 2 4 4 2 2 2 2" xfId="2931" xr:uid="{00000000-0005-0000-0000-0000B30E0000}"/>
    <cellStyle name="Normal 2 4 4 2 2 2 2 2" xfId="6791" xr:uid="{00000000-0005-0000-0000-0000B40E0000}"/>
    <cellStyle name="Normal 2 4 4 2 2 2 2 3" xfId="11743" xr:uid="{00000000-0005-0000-0000-0000B50E0000}"/>
    <cellStyle name="Normal 2 4 4 2 2 2 3" xfId="4159" xr:uid="{00000000-0005-0000-0000-0000B60E0000}"/>
    <cellStyle name="Normal 2 4 4 2 2 2 3 2" xfId="8015" xr:uid="{00000000-0005-0000-0000-0000B70E0000}"/>
    <cellStyle name="Normal 2 4 4 2 2 2 3 3" xfId="10501" xr:uid="{00000000-0005-0000-0000-0000B80E0000}"/>
    <cellStyle name="Normal 2 4 4 2 2 2 4" xfId="5567" xr:uid="{00000000-0005-0000-0000-0000B90E0000}"/>
    <cellStyle name="Normal 2 4 4 2 2 2 5" xfId="9259" xr:uid="{00000000-0005-0000-0000-0000BA0E0000}"/>
    <cellStyle name="Normal 2 4 4 2 2 3" xfId="2319" xr:uid="{00000000-0005-0000-0000-0000BB0E0000}"/>
    <cellStyle name="Normal 2 4 4 2 2 3 2" xfId="6179" xr:uid="{00000000-0005-0000-0000-0000BC0E0000}"/>
    <cellStyle name="Normal 2 4 4 2 2 3 3" xfId="11095" xr:uid="{00000000-0005-0000-0000-0000BD0E0000}"/>
    <cellStyle name="Normal 2 4 4 2 2 4" xfId="3547" xr:uid="{00000000-0005-0000-0000-0000BE0E0000}"/>
    <cellStyle name="Normal 2 4 4 2 2 4 2" xfId="7403" xr:uid="{00000000-0005-0000-0000-0000BF0E0000}"/>
    <cellStyle name="Normal 2 4 4 2 2 4 3" xfId="9853" xr:uid="{00000000-0005-0000-0000-0000C00E0000}"/>
    <cellStyle name="Normal 2 4 4 2 2 5" xfId="4955" xr:uid="{00000000-0005-0000-0000-0000C10E0000}"/>
    <cellStyle name="Normal 2 4 4 2 2 6" xfId="8610" xr:uid="{00000000-0005-0000-0000-0000C20E0000}"/>
    <cellStyle name="Normal 2 4 4 2 3" xfId="1399" xr:uid="{00000000-0005-0000-0000-0000C30E0000}"/>
    <cellStyle name="Normal 2 4 4 2 3 2" xfId="2625" xr:uid="{00000000-0005-0000-0000-0000C40E0000}"/>
    <cellStyle name="Normal 2 4 4 2 3 2 2" xfId="6485" xr:uid="{00000000-0005-0000-0000-0000C50E0000}"/>
    <cellStyle name="Normal 2 4 4 2 3 2 3" xfId="11437" xr:uid="{00000000-0005-0000-0000-0000C60E0000}"/>
    <cellStyle name="Normal 2 4 4 2 3 3" xfId="3853" xr:uid="{00000000-0005-0000-0000-0000C70E0000}"/>
    <cellStyle name="Normal 2 4 4 2 3 3 2" xfId="7709" xr:uid="{00000000-0005-0000-0000-0000C80E0000}"/>
    <cellStyle name="Normal 2 4 4 2 3 3 3" xfId="10195" xr:uid="{00000000-0005-0000-0000-0000C90E0000}"/>
    <cellStyle name="Normal 2 4 4 2 3 4" xfId="5261" xr:uid="{00000000-0005-0000-0000-0000CA0E0000}"/>
    <cellStyle name="Normal 2 4 4 2 3 5" xfId="8953" xr:uid="{00000000-0005-0000-0000-0000CB0E0000}"/>
    <cellStyle name="Normal 2 4 4 2 4" xfId="2013" xr:uid="{00000000-0005-0000-0000-0000CC0E0000}"/>
    <cellStyle name="Normal 2 4 4 2 4 2" xfId="5873" xr:uid="{00000000-0005-0000-0000-0000CD0E0000}"/>
    <cellStyle name="Normal 2 4 4 2 4 3" xfId="10807" xr:uid="{00000000-0005-0000-0000-0000CE0E0000}"/>
    <cellStyle name="Normal 2 4 4 2 5" xfId="3240" xr:uid="{00000000-0005-0000-0000-0000CF0E0000}"/>
    <cellStyle name="Normal 2 4 4 2 5 2" xfId="7097" xr:uid="{00000000-0005-0000-0000-0000D00E0000}"/>
    <cellStyle name="Normal 2 4 4 2 5 3" xfId="12013" xr:uid="{00000000-0005-0000-0000-0000D10E0000}"/>
    <cellStyle name="Normal 2 4 4 2 6" xfId="4649" xr:uid="{00000000-0005-0000-0000-0000D20E0000}"/>
    <cellStyle name="Normal 2 4 4 2 6 2" xfId="9565" xr:uid="{00000000-0005-0000-0000-0000D30E0000}"/>
    <cellStyle name="Normal 2 4 4 2 7" xfId="8322" xr:uid="{00000000-0005-0000-0000-0000D40E0000}"/>
    <cellStyle name="Normal 2 4 4 3" xfId="651" xr:uid="{00000000-0005-0000-0000-0000D50E0000}"/>
    <cellStyle name="Normal 2 4 4 3 2" xfId="1001" xr:uid="{00000000-0005-0000-0000-0000D60E0000}"/>
    <cellStyle name="Normal 2 4 4 3 2 2" xfId="1615" xr:uid="{00000000-0005-0000-0000-0000D70E0000}"/>
    <cellStyle name="Normal 2 4 4 3 2 2 2" xfId="2841" xr:uid="{00000000-0005-0000-0000-0000D80E0000}"/>
    <cellStyle name="Normal 2 4 4 3 2 2 2 2" xfId="6701" xr:uid="{00000000-0005-0000-0000-0000D90E0000}"/>
    <cellStyle name="Normal 2 4 4 3 2 2 2 3" xfId="11653" xr:uid="{00000000-0005-0000-0000-0000DA0E0000}"/>
    <cellStyle name="Normal 2 4 4 3 2 2 3" xfId="4069" xr:uid="{00000000-0005-0000-0000-0000DB0E0000}"/>
    <cellStyle name="Normal 2 4 4 3 2 2 3 2" xfId="7925" xr:uid="{00000000-0005-0000-0000-0000DC0E0000}"/>
    <cellStyle name="Normal 2 4 4 3 2 2 3 3" xfId="10411" xr:uid="{00000000-0005-0000-0000-0000DD0E0000}"/>
    <cellStyle name="Normal 2 4 4 3 2 2 4" xfId="5477" xr:uid="{00000000-0005-0000-0000-0000DE0E0000}"/>
    <cellStyle name="Normal 2 4 4 3 2 2 5" xfId="9169" xr:uid="{00000000-0005-0000-0000-0000DF0E0000}"/>
    <cellStyle name="Normal 2 4 4 3 2 3" xfId="2229" xr:uid="{00000000-0005-0000-0000-0000E00E0000}"/>
    <cellStyle name="Normal 2 4 4 3 2 3 2" xfId="6089" xr:uid="{00000000-0005-0000-0000-0000E10E0000}"/>
    <cellStyle name="Normal 2 4 4 3 2 3 3" xfId="11005" xr:uid="{00000000-0005-0000-0000-0000E20E0000}"/>
    <cellStyle name="Normal 2 4 4 3 2 4" xfId="3457" xr:uid="{00000000-0005-0000-0000-0000E30E0000}"/>
    <cellStyle name="Normal 2 4 4 3 2 4 2" xfId="7313" xr:uid="{00000000-0005-0000-0000-0000E40E0000}"/>
    <cellStyle name="Normal 2 4 4 3 2 4 3" xfId="9763" xr:uid="{00000000-0005-0000-0000-0000E50E0000}"/>
    <cellStyle name="Normal 2 4 4 3 2 5" xfId="4865" xr:uid="{00000000-0005-0000-0000-0000E60E0000}"/>
    <cellStyle name="Normal 2 4 4 3 2 6" xfId="8520" xr:uid="{00000000-0005-0000-0000-0000E70E0000}"/>
    <cellStyle name="Normal 2 4 4 3 3" xfId="1309" xr:uid="{00000000-0005-0000-0000-0000E80E0000}"/>
    <cellStyle name="Normal 2 4 4 3 3 2" xfId="2535" xr:uid="{00000000-0005-0000-0000-0000E90E0000}"/>
    <cellStyle name="Normal 2 4 4 3 3 2 2" xfId="6395" xr:uid="{00000000-0005-0000-0000-0000EA0E0000}"/>
    <cellStyle name="Normal 2 4 4 3 3 2 3" xfId="11347" xr:uid="{00000000-0005-0000-0000-0000EB0E0000}"/>
    <cellStyle name="Normal 2 4 4 3 3 3" xfId="3763" xr:uid="{00000000-0005-0000-0000-0000EC0E0000}"/>
    <cellStyle name="Normal 2 4 4 3 3 3 2" xfId="7619" xr:uid="{00000000-0005-0000-0000-0000ED0E0000}"/>
    <cellStyle name="Normal 2 4 4 3 3 3 3" xfId="10105" xr:uid="{00000000-0005-0000-0000-0000EE0E0000}"/>
    <cellStyle name="Normal 2 4 4 3 3 4" xfId="5171" xr:uid="{00000000-0005-0000-0000-0000EF0E0000}"/>
    <cellStyle name="Normal 2 4 4 3 3 5" xfId="8863" xr:uid="{00000000-0005-0000-0000-0000F00E0000}"/>
    <cellStyle name="Normal 2 4 4 3 4" xfId="1923" xr:uid="{00000000-0005-0000-0000-0000F10E0000}"/>
    <cellStyle name="Normal 2 4 4 3 4 2" xfId="5783" xr:uid="{00000000-0005-0000-0000-0000F20E0000}"/>
    <cellStyle name="Normal 2 4 4 3 4 3" xfId="10717" xr:uid="{00000000-0005-0000-0000-0000F30E0000}"/>
    <cellStyle name="Normal 2 4 4 3 5" xfId="3150" xr:uid="{00000000-0005-0000-0000-0000F40E0000}"/>
    <cellStyle name="Normal 2 4 4 3 5 2" xfId="7007" xr:uid="{00000000-0005-0000-0000-0000F50E0000}"/>
    <cellStyle name="Normal 2 4 4 3 5 3" xfId="11923" xr:uid="{00000000-0005-0000-0000-0000F60E0000}"/>
    <cellStyle name="Normal 2 4 4 3 6" xfId="4559" xr:uid="{00000000-0005-0000-0000-0000F70E0000}"/>
    <cellStyle name="Normal 2 4 4 3 6 2" xfId="9475" xr:uid="{00000000-0005-0000-0000-0000F80E0000}"/>
    <cellStyle name="Normal 2 4 4 3 7" xfId="8232" xr:uid="{00000000-0005-0000-0000-0000F90E0000}"/>
    <cellStyle name="Normal 2 4 4 4" xfId="910" xr:uid="{00000000-0005-0000-0000-0000FA0E0000}"/>
    <cellStyle name="Normal 2 4 4 4 2" xfId="1525" xr:uid="{00000000-0005-0000-0000-0000FB0E0000}"/>
    <cellStyle name="Normal 2 4 4 4 2 2" xfId="2751" xr:uid="{00000000-0005-0000-0000-0000FC0E0000}"/>
    <cellStyle name="Normal 2 4 4 4 2 2 2" xfId="6611" xr:uid="{00000000-0005-0000-0000-0000FD0E0000}"/>
    <cellStyle name="Normal 2 4 4 4 2 2 3" xfId="11563" xr:uid="{00000000-0005-0000-0000-0000FE0E0000}"/>
    <cellStyle name="Normal 2 4 4 4 2 3" xfId="3979" xr:uid="{00000000-0005-0000-0000-0000FF0E0000}"/>
    <cellStyle name="Normal 2 4 4 4 2 3 2" xfId="7835" xr:uid="{00000000-0005-0000-0000-0000000F0000}"/>
    <cellStyle name="Normal 2 4 4 4 2 3 3" xfId="10321" xr:uid="{00000000-0005-0000-0000-0000010F0000}"/>
    <cellStyle name="Normal 2 4 4 4 2 4" xfId="5387" xr:uid="{00000000-0005-0000-0000-0000020F0000}"/>
    <cellStyle name="Normal 2 4 4 4 2 5" xfId="9079" xr:uid="{00000000-0005-0000-0000-0000030F0000}"/>
    <cellStyle name="Normal 2 4 4 4 3" xfId="2139" xr:uid="{00000000-0005-0000-0000-0000040F0000}"/>
    <cellStyle name="Normal 2 4 4 4 3 2" xfId="5999" xr:uid="{00000000-0005-0000-0000-0000050F0000}"/>
    <cellStyle name="Normal 2 4 4 4 3 3" xfId="10915" xr:uid="{00000000-0005-0000-0000-0000060F0000}"/>
    <cellStyle name="Normal 2 4 4 4 4" xfId="3367" xr:uid="{00000000-0005-0000-0000-0000070F0000}"/>
    <cellStyle name="Normal 2 4 4 4 4 2" xfId="7223" xr:uid="{00000000-0005-0000-0000-0000080F0000}"/>
    <cellStyle name="Normal 2 4 4 4 4 3" xfId="9673" xr:uid="{00000000-0005-0000-0000-0000090F0000}"/>
    <cellStyle name="Normal 2 4 4 4 5" xfId="4775" xr:uid="{00000000-0005-0000-0000-00000A0F0000}"/>
    <cellStyle name="Normal 2 4 4 4 6" xfId="8430" xr:uid="{00000000-0005-0000-0000-00000B0F0000}"/>
    <cellStyle name="Normal 2 4 4 5" xfId="1219" xr:uid="{00000000-0005-0000-0000-00000C0F0000}"/>
    <cellStyle name="Normal 2 4 4 5 2" xfId="2445" xr:uid="{00000000-0005-0000-0000-00000D0F0000}"/>
    <cellStyle name="Normal 2 4 4 5 2 2" xfId="6305" xr:uid="{00000000-0005-0000-0000-00000E0F0000}"/>
    <cellStyle name="Normal 2 4 4 5 2 3" xfId="11257" xr:uid="{00000000-0005-0000-0000-00000F0F0000}"/>
    <cellStyle name="Normal 2 4 4 5 3" xfId="3673" xr:uid="{00000000-0005-0000-0000-0000100F0000}"/>
    <cellStyle name="Normal 2 4 4 5 3 2" xfId="7529" xr:uid="{00000000-0005-0000-0000-0000110F0000}"/>
    <cellStyle name="Normal 2 4 4 5 3 3" xfId="10015" xr:uid="{00000000-0005-0000-0000-0000120F0000}"/>
    <cellStyle name="Normal 2 4 4 5 4" xfId="5081" xr:uid="{00000000-0005-0000-0000-0000130F0000}"/>
    <cellStyle name="Normal 2 4 4 5 5" xfId="8773" xr:uid="{00000000-0005-0000-0000-0000140F0000}"/>
    <cellStyle name="Normal 2 4 4 6" xfId="1833" xr:uid="{00000000-0005-0000-0000-0000150F0000}"/>
    <cellStyle name="Normal 2 4 4 6 2" xfId="5693" xr:uid="{00000000-0005-0000-0000-0000160F0000}"/>
    <cellStyle name="Normal 2 4 4 6 3" xfId="10627" xr:uid="{00000000-0005-0000-0000-0000170F0000}"/>
    <cellStyle name="Normal 2 4 4 7" xfId="3060" xr:uid="{00000000-0005-0000-0000-0000180F0000}"/>
    <cellStyle name="Normal 2 4 4 7 2" xfId="6917" xr:uid="{00000000-0005-0000-0000-0000190F0000}"/>
    <cellStyle name="Normal 2 4 4 7 3" xfId="11833" xr:uid="{00000000-0005-0000-0000-00001A0F0000}"/>
    <cellStyle name="Normal 2 4 4 8" xfId="4469" xr:uid="{00000000-0005-0000-0000-00001B0F0000}"/>
    <cellStyle name="Normal 2 4 4 8 2" xfId="9385" xr:uid="{00000000-0005-0000-0000-00001C0F0000}"/>
    <cellStyle name="Normal 2 4 4 9" xfId="8142" xr:uid="{00000000-0005-0000-0000-00001D0F0000}"/>
    <cellStyle name="Normal 2 4 5" xfId="503" xr:uid="{00000000-0005-0000-0000-00001E0F0000}"/>
    <cellStyle name="Normal 2 4 5 2" xfId="705" xr:uid="{00000000-0005-0000-0000-00001F0F0000}"/>
    <cellStyle name="Normal 2 4 5 2 2" xfId="1055" xr:uid="{00000000-0005-0000-0000-0000200F0000}"/>
    <cellStyle name="Normal 2 4 5 2 2 2" xfId="1669" xr:uid="{00000000-0005-0000-0000-0000210F0000}"/>
    <cellStyle name="Normal 2 4 5 2 2 2 2" xfId="2895" xr:uid="{00000000-0005-0000-0000-0000220F0000}"/>
    <cellStyle name="Normal 2 4 5 2 2 2 2 2" xfId="6755" xr:uid="{00000000-0005-0000-0000-0000230F0000}"/>
    <cellStyle name="Normal 2 4 5 2 2 2 2 3" xfId="11707" xr:uid="{00000000-0005-0000-0000-0000240F0000}"/>
    <cellStyle name="Normal 2 4 5 2 2 2 3" xfId="4123" xr:uid="{00000000-0005-0000-0000-0000250F0000}"/>
    <cellStyle name="Normal 2 4 5 2 2 2 3 2" xfId="7979" xr:uid="{00000000-0005-0000-0000-0000260F0000}"/>
    <cellStyle name="Normal 2 4 5 2 2 2 3 3" xfId="10465" xr:uid="{00000000-0005-0000-0000-0000270F0000}"/>
    <cellStyle name="Normal 2 4 5 2 2 2 4" xfId="5531" xr:uid="{00000000-0005-0000-0000-0000280F0000}"/>
    <cellStyle name="Normal 2 4 5 2 2 2 5" xfId="9223" xr:uid="{00000000-0005-0000-0000-0000290F0000}"/>
    <cellStyle name="Normal 2 4 5 2 2 3" xfId="2283" xr:uid="{00000000-0005-0000-0000-00002A0F0000}"/>
    <cellStyle name="Normal 2 4 5 2 2 3 2" xfId="6143" xr:uid="{00000000-0005-0000-0000-00002B0F0000}"/>
    <cellStyle name="Normal 2 4 5 2 2 3 3" xfId="11059" xr:uid="{00000000-0005-0000-0000-00002C0F0000}"/>
    <cellStyle name="Normal 2 4 5 2 2 4" xfId="3511" xr:uid="{00000000-0005-0000-0000-00002D0F0000}"/>
    <cellStyle name="Normal 2 4 5 2 2 4 2" xfId="7367" xr:uid="{00000000-0005-0000-0000-00002E0F0000}"/>
    <cellStyle name="Normal 2 4 5 2 2 4 3" xfId="9817" xr:uid="{00000000-0005-0000-0000-00002F0F0000}"/>
    <cellStyle name="Normal 2 4 5 2 2 5" xfId="4919" xr:uid="{00000000-0005-0000-0000-0000300F0000}"/>
    <cellStyle name="Normal 2 4 5 2 2 6" xfId="8574" xr:uid="{00000000-0005-0000-0000-0000310F0000}"/>
    <cellStyle name="Normal 2 4 5 2 3" xfId="1363" xr:uid="{00000000-0005-0000-0000-0000320F0000}"/>
    <cellStyle name="Normal 2 4 5 2 3 2" xfId="2589" xr:uid="{00000000-0005-0000-0000-0000330F0000}"/>
    <cellStyle name="Normal 2 4 5 2 3 2 2" xfId="6449" xr:uid="{00000000-0005-0000-0000-0000340F0000}"/>
    <cellStyle name="Normal 2 4 5 2 3 2 3" xfId="11401" xr:uid="{00000000-0005-0000-0000-0000350F0000}"/>
    <cellStyle name="Normal 2 4 5 2 3 3" xfId="3817" xr:uid="{00000000-0005-0000-0000-0000360F0000}"/>
    <cellStyle name="Normal 2 4 5 2 3 3 2" xfId="7673" xr:uid="{00000000-0005-0000-0000-0000370F0000}"/>
    <cellStyle name="Normal 2 4 5 2 3 3 3" xfId="10159" xr:uid="{00000000-0005-0000-0000-0000380F0000}"/>
    <cellStyle name="Normal 2 4 5 2 3 4" xfId="5225" xr:uid="{00000000-0005-0000-0000-0000390F0000}"/>
    <cellStyle name="Normal 2 4 5 2 3 5" xfId="8917" xr:uid="{00000000-0005-0000-0000-00003A0F0000}"/>
    <cellStyle name="Normal 2 4 5 2 4" xfId="1977" xr:uid="{00000000-0005-0000-0000-00003B0F0000}"/>
    <cellStyle name="Normal 2 4 5 2 4 2" xfId="5837" xr:uid="{00000000-0005-0000-0000-00003C0F0000}"/>
    <cellStyle name="Normal 2 4 5 2 4 3" xfId="10771" xr:uid="{00000000-0005-0000-0000-00003D0F0000}"/>
    <cellStyle name="Normal 2 4 5 2 5" xfId="3204" xr:uid="{00000000-0005-0000-0000-00003E0F0000}"/>
    <cellStyle name="Normal 2 4 5 2 5 2" xfId="7061" xr:uid="{00000000-0005-0000-0000-00003F0F0000}"/>
    <cellStyle name="Normal 2 4 5 2 5 3" xfId="11977" xr:uid="{00000000-0005-0000-0000-0000400F0000}"/>
    <cellStyle name="Normal 2 4 5 2 6" xfId="4613" xr:uid="{00000000-0005-0000-0000-0000410F0000}"/>
    <cellStyle name="Normal 2 4 5 2 6 2" xfId="9529" xr:uid="{00000000-0005-0000-0000-0000420F0000}"/>
    <cellStyle name="Normal 2 4 5 2 7" xfId="8286" xr:uid="{00000000-0005-0000-0000-0000430F0000}"/>
    <cellStyle name="Normal 2 4 5 3" xfId="615" xr:uid="{00000000-0005-0000-0000-0000440F0000}"/>
    <cellStyle name="Normal 2 4 5 3 2" xfId="965" xr:uid="{00000000-0005-0000-0000-0000450F0000}"/>
    <cellStyle name="Normal 2 4 5 3 2 2" xfId="1579" xr:uid="{00000000-0005-0000-0000-0000460F0000}"/>
    <cellStyle name="Normal 2 4 5 3 2 2 2" xfId="2805" xr:uid="{00000000-0005-0000-0000-0000470F0000}"/>
    <cellStyle name="Normal 2 4 5 3 2 2 2 2" xfId="6665" xr:uid="{00000000-0005-0000-0000-0000480F0000}"/>
    <cellStyle name="Normal 2 4 5 3 2 2 2 3" xfId="11617" xr:uid="{00000000-0005-0000-0000-0000490F0000}"/>
    <cellStyle name="Normal 2 4 5 3 2 2 3" xfId="4033" xr:uid="{00000000-0005-0000-0000-00004A0F0000}"/>
    <cellStyle name="Normal 2 4 5 3 2 2 3 2" xfId="7889" xr:uid="{00000000-0005-0000-0000-00004B0F0000}"/>
    <cellStyle name="Normal 2 4 5 3 2 2 3 3" xfId="10375" xr:uid="{00000000-0005-0000-0000-00004C0F0000}"/>
    <cellStyle name="Normal 2 4 5 3 2 2 4" xfId="5441" xr:uid="{00000000-0005-0000-0000-00004D0F0000}"/>
    <cellStyle name="Normal 2 4 5 3 2 2 5" xfId="9133" xr:uid="{00000000-0005-0000-0000-00004E0F0000}"/>
    <cellStyle name="Normal 2 4 5 3 2 3" xfId="2193" xr:uid="{00000000-0005-0000-0000-00004F0F0000}"/>
    <cellStyle name="Normal 2 4 5 3 2 3 2" xfId="6053" xr:uid="{00000000-0005-0000-0000-0000500F0000}"/>
    <cellStyle name="Normal 2 4 5 3 2 3 3" xfId="10969" xr:uid="{00000000-0005-0000-0000-0000510F0000}"/>
    <cellStyle name="Normal 2 4 5 3 2 4" xfId="3421" xr:uid="{00000000-0005-0000-0000-0000520F0000}"/>
    <cellStyle name="Normal 2 4 5 3 2 4 2" xfId="7277" xr:uid="{00000000-0005-0000-0000-0000530F0000}"/>
    <cellStyle name="Normal 2 4 5 3 2 4 3" xfId="9727" xr:uid="{00000000-0005-0000-0000-0000540F0000}"/>
    <cellStyle name="Normal 2 4 5 3 2 5" xfId="4829" xr:uid="{00000000-0005-0000-0000-0000550F0000}"/>
    <cellStyle name="Normal 2 4 5 3 2 6" xfId="8484" xr:uid="{00000000-0005-0000-0000-0000560F0000}"/>
    <cellStyle name="Normal 2 4 5 3 3" xfId="1273" xr:uid="{00000000-0005-0000-0000-0000570F0000}"/>
    <cellStyle name="Normal 2 4 5 3 3 2" xfId="2499" xr:uid="{00000000-0005-0000-0000-0000580F0000}"/>
    <cellStyle name="Normal 2 4 5 3 3 2 2" xfId="6359" xr:uid="{00000000-0005-0000-0000-0000590F0000}"/>
    <cellStyle name="Normal 2 4 5 3 3 2 3" xfId="11311" xr:uid="{00000000-0005-0000-0000-00005A0F0000}"/>
    <cellStyle name="Normal 2 4 5 3 3 3" xfId="3727" xr:uid="{00000000-0005-0000-0000-00005B0F0000}"/>
    <cellStyle name="Normal 2 4 5 3 3 3 2" xfId="7583" xr:uid="{00000000-0005-0000-0000-00005C0F0000}"/>
    <cellStyle name="Normal 2 4 5 3 3 3 3" xfId="10069" xr:uid="{00000000-0005-0000-0000-00005D0F0000}"/>
    <cellStyle name="Normal 2 4 5 3 3 4" xfId="5135" xr:uid="{00000000-0005-0000-0000-00005E0F0000}"/>
    <cellStyle name="Normal 2 4 5 3 3 5" xfId="8827" xr:uid="{00000000-0005-0000-0000-00005F0F0000}"/>
    <cellStyle name="Normal 2 4 5 3 4" xfId="1887" xr:uid="{00000000-0005-0000-0000-0000600F0000}"/>
    <cellStyle name="Normal 2 4 5 3 4 2" xfId="5747" xr:uid="{00000000-0005-0000-0000-0000610F0000}"/>
    <cellStyle name="Normal 2 4 5 3 4 3" xfId="10681" xr:uid="{00000000-0005-0000-0000-0000620F0000}"/>
    <cellStyle name="Normal 2 4 5 3 5" xfId="3114" xr:uid="{00000000-0005-0000-0000-0000630F0000}"/>
    <cellStyle name="Normal 2 4 5 3 5 2" xfId="6971" xr:uid="{00000000-0005-0000-0000-0000640F0000}"/>
    <cellStyle name="Normal 2 4 5 3 5 3" xfId="11887" xr:uid="{00000000-0005-0000-0000-0000650F0000}"/>
    <cellStyle name="Normal 2 4 5 3 6" xfId="4523" xr:uid="{00000000-0005-0000-0000-0000660F0000}"/>
    <cellStyle name="Normal 2 4 5 3 6 2" xfId="9439" xr:uid="{00000000-0005-0000-0000-0000670F0000}"/>
    <cellStyle name="Normal 2 4 5 3 7" xfId="8196" xr:uid="{00000000-0005-0000-0000-0000680F0000}"/>
    <cellStyle name="Normal 2 4 5 4" xfId="853" xr:uid="{00000000-0005-0000-0000-0000690F0000}"/>
    <cellStyle name="Normal 2 4 5 4 2" xfId="1489" xr:uid="{00000000-0005-0000-0000-00006A0F0000}"/>
    <cellStyle name="Normal 2 4 5 4 2 2" xfId="2715" xr:uid="{00000000-0005-0000-0000-00006B0F0000}"/>
    <cellStyle name="Normal 2 4 5 4 2 2 2" xfId="6575" xr:uid="{00000000-0005-0000-0000-00006C0F0000}"/>
    <cellStyle name="Normal 2 4 5 4 2 2 3" xfId="11527" xr:uid="{00000000-0005-0000-0000-00006D0F0000}"/>
    <cellStyle name="Normal 2 4 5 4 2 3" xfId="3943" xr:uid="{00000000-0005-0000-0000-00006E0F0000}"/>
    <cellStyle name="Normal 2 4 5 4 2 3 2" xfId="7799" xr:uid="{00000000-0005-0000-0000-00006F0F0000}"/>
    <cellStyle name="Normal 2 4 5 4 2 3 3" xfId="10285" xr:uid="{00000000-0005-0000-0000-0000700F0000}"/>
    <cellStyle name="Normal 2 4 5 4 2 4" xfId="5351" xr:uid="{00000000-0005-0000-0000-0000710F0000}"/>
    <cellStyle name="Normal 2 4 5 4 2 5" xfId="9043" xr:uid="{00000000-0005-0000-0000-0000720F0000}"/>
    <cellStyle name="Normal 2 4 5 4 3" xfId="2103" xr:uid="{00000000-0005-0000-0000-0000730F0000}"/>
    <cellStyle name="Normal 2 4 5 4 3 2" xfId="5963" xr:uid="{00000000-0005-0000-0000-0000740F0000}"/>
    <cellStyle name="Normal 2 4 5 4 3 3" xfId="10879" xr:uid="{00000000-0005-0000-0000-0000750F0000}"/>
    <cellStyle name="Normal 2 4 5 4 4" xfId="3331" xr:uid="{00000000-0005-0000-0000-0000760F0000}"/>
    <cellStyle name="Normal 2 4 5 4 4 2" xfId="7187" xr:uid="{00000000-0005-0000-0000-0000770F0000}"/>
    <cellStyle name="Normal 2 4 5 4 4 3" xfId="9637" xr:uid="{00000000-0005-0000-0000-0000780F0000}"/>
    <cellStyle name="Normal 2 4 5 4 5" xfId="4739" xr:uid="{00000000-0005-0000-0000-0000790F0000}"/>
    <cellStyle name="Normal 2 4 5 4 6" xfId="8394" xr:uid="{00000000-0005-0000-0000-00007A0F0000}"/>
    <cellStyle name="Normal 2 4 5 5" xfId="1183" xr:uid="{00000000-0005-0000-0000-00007B0F0000}"/>
    <cellStyle name="Normal 2 4 5 5 2" xfId="2409" xr:uid="{00000000-0005-0000-0000-00007C0F0000}"/>
    <cellStyle name="Normal 2 4 5 5 2 2" xfId="6269" xr:uid="{00000000-0005-0000-0000-00007D0F0000}"/>
    <cellStyle name="Normal 2 4 5 5 2 3" xfId="11221" xr:uid="{00000000-0005-0000-0000-00007E0F0000}"/>
    <cellStyle name="Normal 2 4 5 5 3" xfId="3637" xr:uid="{00000000-0005-0000-0000-00007F0F0000}"/>
    <cellStyle name="Normal 2 4 5 5 3 2" xfId="7493" xr:uid="{00000000-0005-0000-0000-0000800F0000}"/>
    <cellStyle name="Normal 2 4 5 5 3 3" xfId="9979" xr:uid="{00000000-0005-0000-0000-0000810F0000}"/>
    <cellStyle name="Normal 2 4 5 5 4" xfId="5045" xr:uid="{00000000-0005-0000-0000-0000820F0000}"/>
    <cellStyle name="Normal 2 4 5 5 5" xfId="8737" xr:uid="{00000000-0005-0000-0000-0000830F0000}"/>
    <cellStyle name="Normal 2 4 5 6" xfId="1797" xr:uid="{00000000-0005-0000-0000-0000840F0000}"/>
    <cellStyle name="Normal 2 4 5 6 2" xfId="5657" xr:uid="{00000000-0005-0000-0000-0000850F0000}"/>
    <cellStyle name="Normal 2 4 5 6 3" xfId="10591" xr:uid="{00000000-0005-0000-0000-0000860F0000}"/>
    <cellStyle name="Normal 2 4 5 7" xfId="3024" xr:uid="{00000000-0005-0000-0000-0000870F0000}"/>
    <cellStyle name="Normal 2 4 5 7 2" xfId="6881" xr:uid="{00000000-0005-0000-0000-0000880F0000}"/>
    <cellStyle name="Normal 2 4 5 7 3" xfId="11797" xr:uid="{00000000-0005-0000-0000-0000890F0000}"/>
    <cellStyle name="Normal 2 4 5 8" xfId="4433" xr:uid="{00000000-0005-0000-0000-00008A0F0000}"/>
    <cellStyle name="Normal 2 4 5 8 2" xfId="9349" xr:uid="{00000000-0005-0000-0000-00008B0F0000}"/>
    <cellStyle name="Normal 2 4 5 9" xfId="8106" xr:uid="{00000000-0005-0000-0000-00008C0F0000}"/>
    <cellStyle name="Normal 2 4 6" xfId="687" xr:uid="{00000000-0005-0000-0000-00008D0F0000}"/>
    <cellStyle name="Normal 2 4 6 2" xfId="1037" xr:uid="{00000000-0005-0000-0000-00008E0F0000}"/>
    <cellStyle name="Normal 2 4 6 2 2" xfId="1651" xr:uid="{00000000-0005-0000-0000-00008F0F0000}"/>
    <cellStyle name="Normal 2 4 6 2 2 2" xfId="2877" xr:uid="{00000000-0005-0000-0000-0000900F0000}"/>
    <cellStyle name="Normal 2 4 6 2 2 2 2" xfId="6737" xr:uid="{00000000-0005-0000-0000-0000910F0000}"/>
    <cellStyle name="Normal 2 4 6 2 2 2 3" xfId="11689" xr:uid="{00000000-0005-0000-0000-0000920F0000}"/>
    <cellStyle name="Normal 2 4 6 2 2 3" xfId="4105" xr:uid="{00000000-0005-0000-0000-0000930F0000}"/>
    <cellStyle name="Normal 2 4 6 2 2 3 2" xfId="7961" xr:uid="{00000000-0005-0000-0000-0000940F0000}"/>
    <cellStyle name="Normal 2 4 6 2 2 3 3" xfId="10447" xr:uid="{00000000-0005-0000-0000-0000950F0000}"/>
    <cellStyle name="Normal 2 4 6 2 2 4" xfId="5513" xr:uid="{00000000-0005-0000-0000-0000960F0000}"/>
    <cellStyle name="Normal 2 4 6 2 2 5" xfId="9205" xr:uid="{00000000-0005-0000-0000-0000970F0000}"/>
    <cellStyle name="Normal 2 4 6 2 3" xfId="2265" xr:uid="{00000000-0005-0000-0000-0000980F0000}"/>
    <cellStyle name="Normal 2 4 6 2 3 2" xfId="6125" xr:uid="{00000000-0005-0000-0000-0000990F0000}"/>
    <cellStyle name="Normal 2 4 6 2 3 3" xfId="11041" xr:uid="{00000000-0005-0000-0000-00009A0F0000}"/>
    <cellStyle name="Normal 2 4 6 2 4" xfId="3493" xr:uid="{00000000-0005-0000-0000-00009B0F0000}"/>
    <cellStyle name="Normal 2 4 6 2 4 2" xfId="7349" xr:uid="{00000000-0005-0000-0000-00009C0F0000}"/>
    <cellStyle name="Normal 2 4 6 2 4 3" xfId="9799" xr:uid="{00000000-0005-0000-0000-00009D0F0000}"/>
    <cellStyle name="Normal 2 4 6 2 5" xfId="4901" xr:uid="{00000000-0005-0000-0000-00009E0F0000}"/>
    <cellStyle name="Normal 2 4 6 2 6" xfId="8556" xr:uid="{00000000-0005-0000-0000-00009F0F0000}"/>
    <cellStyle name="Normal 2 4 6 3" xfId="1345" xr:uid="{00000000-0005-0000-0000-0000A00F0000}"/>
    <cellStyle name="Normal 2 4 6 3 2" xfId="2571" xr:uid="{00000000-0005-0000-0000-0000A10F0000}"/>
    <cellStyle name="Normal 2 4 6 3 2 2" xfId="6431" xr:uid="{00000000-0005-0000-0000-0000A20F0000}"/>
    <cellStyle name="Normal 2 4 6 3 2 3" xfId="11383" xr:uid="{00000000-0005-0000-0000-0000A30F0000}"/>
    <cellStyle name="Normal 2 4 6 3 3" xfId="3799" xr:uid="{00000000-0005-0000-0000-0000A40F0000}"/>
    <cellStyle name="Normal 2 4 6 3 3 2" xfId="7655" xr:uid="{00000000-0005-0000-0000-0000A50F0000}"/>
    <cellStyle name="Normal 2 4 6 3 3 3" xfId="10141" xr:uid="{00000000-0005-0000-0000-0000A60F0000}"/>
    <cellStyle name="Normal 2 4 6 3 4" xfId="5207" xr:uid="{00000000-0005-0000-0000-0000A70F0000}"/>
    <cellStyle name="Normal 2 4 6 3 5" xfId="8899" xr:uid="{00000000-0005-0000-0000-0000A80F0000}"/>
    <cellStyle name="Normal 2 4 6 4" xfId="1959" xr:uid="{00000000-0005-0000-0000-0000A90F0000}"/>
    <cellStyle name="Normal 2 4 6 4 2" xfId="5819" xr:uid="{00000000-0005-0000-0000-0000AA0F0000}"/>
    <cellStyle name="Normal 2 4 6 4 3" xfId="10753" xr:uid="{00000000-0005-0000-0000-0000AB0F0000}"/>
    <cellStyle name="Normal 2 4 6 5" xfId="3186" xr:uid="{00000000-0005-0000-0000-0000AC0F0000}"/>
    <cellStyle name="Normal 2 4 6 5 2" xfId="7043" xr:uid="{00000000-0005-0000-0000-0000AD0F0000}"/>
    <cellStyle name="Normal 2 4 6 5 3" xfId="11959" xr:uid="{00000000-0005-0000-0000-0000AE0F0000}"/>
    <cellStyle name="Normal 2 4 6 6" xfId="4595" xr:uid="{00000000-0005-0000-0000-0000AF0F0000}"/>
    <cellStyle name="Normal 2 4 6 6 2" xfId="9511" xr:uid="{00000000-0005-0000-0000-0000B00F0000}"/>
    <cellStyle name="Normal 2 4 6 7" xfId="8268" xr:uid="{00000000-0005-0000-0000-0000B10F0000}"/>
    <cellStyle name="Normal 2 4 7" xfId="597" xr:uid="{00000000-0005-0000-0000-0000B20F0000}"/>
    <cellStyle name="Normal 2 4 7 2" xfId="947" xr:uid="{00000000-0005-0000-0000-0000B30F0000}"/>
    <cellStyle name="Normal 2 4 7 2 2" xfId="1561" xr:uid="{00000000-0005-0000-0000-0000B40F0000}"/>
    <cellStyle name="Normal 2 4 7 2 2 2" xfId="2787" xr:uid="{00000000-0005-0000-0000-0000B50F0000}"/>
    <cellStyle name="Normal 2 4 7 2 2 2 2" xfId="6647" xr:uid="{00000000-0005-0000-0000-0000B60F0000}"/>
    <cellStyle name="Normal 2 4 7 2 2 2 3" xfId="11599" xr:uid="{00000000-0005-0000-0000-0000B70F0000}"/>
    <cellStyle name="Normal 2 4 7 2 2 3" xfId="4015" xr:uid="{00000000-0005-0000-0000-0000B80F0000}"/>
    <cellStyle name="Normal 2 4 7 2 2 3 2" xfId="7871" xr:uid="{00000000-0005-0000-0000-0000B90F0000}"/>
    <cellStyle name="Normal 2 4 7 2 2 3 3" xfId="10357" xr:uid="{00000000-0005-0000-0000-0000BA0F0000}"/>
    <cellStyle name="Normal 2 4 7 2 2 4" xfId="5423" xr:uid="{00000000-0005-0000-0000-0000BB0F0000}"/>
    <cellStyle name="Normal 2 4 7 2 2 5" xfId="9115" xr:uid="{00000000-0005-0000-0000-0000BC0F0000}"/>
    <cellStyle name="Normal 2 4 7 2 3" xfId="2175" xr:uid="{00000000-0005-0000-0000-0000BD0F0000}"/>
    <cellStyle name="Normal 2 4 7 2 3 2" xfId="6035" xr:uid="{00000000-0005-0000-0000-0000BE0F0000}"/>
    <cellStyle name="Normal 2 4 7 2 3 3" xfId="10951" xr:uid="{00000000-0005-0000-0000-0000BF0F0000}"/>
    <cellStyle name="Normal 2 4 7 2 4" xfId="3403" xr:uid="{00000000-0005-0000-0000-0000C00F0000}"/>
    <cellStyle name="Normal 2 4 7 2 4 2" xfId="7259" xr:uid="{00000000-0005-0000-0000-0000C10F0000}"/>
    <cellStyle name="Normal 2 4 7 2 4 3" xfId="9709" xr:uid="{00000000-0005-0000-0000-0000C20F0000}"/>
    <cellStyle name="Normal 2 4 7 2 5" xfId="4811" xr:uid="{00000000-0005-0000-0000-0000C30F0000}"/>
    <cellStyle name="Normal 2 4 7 2 6" xfId="8466" xr:uid="{00000000-0005-0000-0000-0000C40F0000}"/>
    <cellStyle name="Normal 2 4 7 3" xfId="1255" xr:uid="{00000000-0005-0000-0000-0000C50F0000}"/>
    <cellStyle name="Normal 2 4 7 3 2" xfId="2481" xr:uid="{00000000-0005-0000-0000-0000C60F0000}"/>
    <cellStyle name="Normal 2 4 7 3 2 2" xfId="6341" xr:uid="{00000000-0005-0000-0000-0000C70F0000}"/>
    <cellStyle name="Normal 2 4 7 3 2 3" xfId="11293" xr:uid="{00000000-0005-0000-0000-0000C80F0000}"/>
    <cellStyle name="Normal 2 4 7 3 3" xfId="3709" xr:uid="{00000000-0005-0000-0000-0000C90F0000}"/>
    <cellStyle name="Normal 2 4 7 3 3 2" xfId="7565" xr:uid="{00000000-0005-0000-0000-0000CA0F0000}"/>
    <cellStyle name="Normal 2 4 7 3 3 3" xfId="10051" xr:uid="{00000000-0005-0000-0000-0000CB0F0000}"/>
    <cellStyle name="Normal 2 4 7 3 4" xfId="5117" xr:uid="{00000000-0005-0000-0000-0000CC0F0000}"/>
    <cellStyle name="Normal 2 4 7 3 5" xfId="8809" xr:uid="{00000000-0005-0000-0000-0000CD0F0000}"/>
    <cellStyle name="Normal 2 4 7 4" xfId="1869" xr:uid="{00000000-0005-0000-0000-0000CE0F0000}"/>
    <cellStyle name="Normal 2 4 7 4 2" xfId="5729" xr:uid="{00000000-0005-0000-0000-0000CF0F0000}"/>
    <cellStyle name="Normal 2 4 7 4 3" xfId="10663" xr:uid="{00000000-0005-0000-0000-0000D00F0000}"/>
    <cellStyle name="Normal 2 4 7 5" xfId="3096" xr:uid="{00000000-0005-0000-0000-0000D10F0000}"/>
    <cellStyle name="Normal 2 4 7 5 2" xfId="6953" xr:uid="{00000000-0005-0000-0000-0000D20F0000}"/>
    <cellStyle name="Normal 2 4 7 5 3" xfId="11869" xr:uid="{00000000-0005-0000-0000-0000D30F0000}"/>
    <cellStyle name="Normal 2 4 7 6" xfId="4505" xr:uid="{00000000-0005-0000-0000-0000D40F0000}"/>
    <cellStyle name="Normal 2 4 7 6 2" xfId="9421" xr:uid="{00000000-0005-0000-0000-0000D50F0000}"/>
    <cellStyle name="Normal 2 4 7 7" xfId="8178" xr:uid="{00000000-0005-0000-0000-0000D60F0000}"/>
    <cellStyle name="Normal 2 4 8" xfId="483" xr:uid="{00000000-0005-0000-0000-0000D70F0000}"/>
    <cellStyle name="Normal 2 4 8 2" xfId="833" xr:uid="{00000000-0005-0000-0000-0000D80F0000}"/>
    <cellStyle name="Normal 2 4 8 2 2" xfId="1471" xr:uid="{00000000-0005-0000-0000-0000D90F0000}"/>
    <cellStyle name="Normal 2 4 8 2 2 2" xfId="2697" xr:uid="{00000000-0005-0000-0000-0000DA0F0000}"/>
    <cellStyle name="Normal 2 4 8 2 2 2 2" xfId="6557" xr:uid="{00000000-0005-0000-0000-0000DB0F0000}"/>
    <cellStyle name="Normal 2 4 8 2 2 2 3" xfId="11509" xr:uid="{00000000-0005-0000-0000-0000DC0F0000}"/>
    <cellStyle name="Normal 2 4 8 2 2 3" xfId="3925" xr:uid="{00000000-0005-0000-0000-0000DD0F0000}"/>
    <cellStyle name="Normal 2 4 8 2 2 3 2" xfId="7781" xr:uid="{00000000-0005-0000-0000-0000DE0F0000}"/>
    <cellStyle name="Normal 2 4 8 2 2 3 3" xfId="10267" xr:uid="{00000000-0005-0000-0000-0000DF0F0000}"/>
    <cellStyle name="Normal 2 4 8 2 2 4" xfId="5333" xr:uid="{00000000-0005-0000-0000-0000E00F0000}"/>
    <cellStyle name="Normal 2 4 8 2 2 5" xfId="9025" xr:uid="{00000000-0005-0000-0000-0000E10F0000}"/>
    <cellStyle name="Normal 2 4 8 2 3" xfId="2085" xr:uid="{00000000-0005-0000-0000-0000E20F0000}"/>
    <cellStyle name="Normal 2 4 8 2 3 2" xfId="5945" xr:uid="{00000000-0005-0000-0000-0000E30F0000}"/>
    <cellStyle name="Normal 2 4 8 2 3 3" xfId="10861" xr:uid="{00000000-0005-0000-0000-0000E40F0000}"/>
    <cellStyle name="Normal 2 4 8 2 4" xfId="3313" xr:uid="{00000000-0005-0000-0000-0000E50F0000}"/>
    <cellStyle name="Normal 2 4 8 2 4 2" xfId="7169" xr:uid="{00000000-0005-0000-0000-0000E60F0000}"/>
    <cellStyle name="Normal 2 4 8 2 4 3" xfId="9619" xr:uid="{00000000-0005-0000-0000-0000E70F0000}"/>
    <cellStyle name="Normal 2 4 8 2 5" xfId="4721" xr:uid="{00000000-0005-0000-0000-0000E80F0000}"/>
    <cellStyle name="Normal 2 4 8 2 6" xfId="8376" xr:uid="{00000000-0005-0000-0000-0000E90F0000}"/>
    <cellStyle name="Normal 2 4 8 3" xfId="1165" xr:uid="{00000000-0005-0000-0000-0000EA0F0000}"/>
    <cellStyle name="Normal 2 4 8 3 2" xfId="2391" xr:uid="{00000000-0005-0000-0000-0000EB0F0000}"/>
    <cellStyle name="Normal 2 4 8 3 2 2" xfId="6251" xr:uid="{00000000-0005-0000-0000-0000EC0F0000}"/>
    <cellStyle name="Normal 2 4 8 3 2 3" xfId="11203" xr:uid="{00000000-0005-0000-0000-0000ED0F0000}"/>
    <cellStyle name="Normal 2 4 8 3 3" xfId="3619" xr:uid="{00000000-0005-0000-0000-0000EE0F0000}"/>
    <cellStyle name="Normal 2 4 8 3 3 2" xfId="7475" xr:uid="{00000000-0005-0000-0000-0000EF0F0000}"/>
    <cellStyle name="Normal 2 4 8 3 3 3" xfId="9961" xr:uid="{00000000-0005-0000-0000-0000F00F0000}"/>
    <cellStyle name="Normal 2 4 8 3 4" xfId="5027" xr:uid="{00000000-0005-0000-0000-0000F10F0000}"/>
    <cellStyle name="Normal 2 4 8 3 5" xfId="8719" xr:uid="{00000000-0005-0000-0000-0000F20F0000}"/>
    <cellStyle name="Normal 2 4 8 4" xfId="1779" xr:uid="{00000000-0005-0000-0000-0000F30F0000}"/>
    <cellStyle name="Normal 2 4 8 4 2" xfId="5639" xr:uid="{00000000-0005-0000-0000-0000F40F0000}"/>
    <cellStyle name="Normal 2 4 8 4 3" xfId="10573" xr:uid="{00000000-0005-0000-0000-0000F50F0000}"/>
    <cellStyle name="Normal 2 4 8 5" xfId="3006" xr:uid="{00000000-0005-0000-0000-0000F60F0000}"/>
    <cellStyle name="Normal 2 4 8 5 2" xfId="6863" xr:uid="{00000000-0005-0000-0000-0000F70F0000}"/>
    <cellStyle name="Normal 2 4 8 5 3" xfId="12049" xr:uid="{00000000-0005-0000-0000-0000F80F0000}"/>
    <cellStyle name="Normal 2 4 8 6" xfId="4415" xr:uid="{00000000-0005-0000-0000-0000F90F0000}"/>
    <cellStyle name="Normal 2 4 8 6 2" xfId="9331" xr:uid="{00000000-0005-0000-0000-0000FA0F0000}"/>
    <cellStyle name="Normal 2 4 8 7" xfId="8088" xr:uid="{00000000-0005-0000-0000-0000FB0F0000}"/>
    <cellStyle name="Normal 2 4 9" xfId="795" xr:uid="{00000000-0005-0000-0000-0000FC0F0000}"/>
    <cellStyle name="Normal 2 4 9 2" xfId="1435" xr:uid="{00000000-0005-0000-0000-0000FD0F0000}"/>
    <cellStyle name="Normal 2 4 9 2 2" xfId="2661" xr:uid="{00000000-0005-0000-0000-0000FE0F0000}"/>
    <cellStyle name="Normal 2 4 9 2 2 2" xfId="6521" xr:uid="{00000000-0005-0000-0000-0000FF0F0000}"/>
    <cellStyle name="Normal 2 4 9 2 2 3" xfId="11473" xr:uid="{00000000-0005-0000-0000-000000100000}"/>
    <cellStyle name="Normal 2 4 9 2 3" xfId="3889" xr:uid="{00000000-0005-0000-0000-000001100000}"/>
    <cellStyle name="Normal 2 4 9 2 3 2" xfId="7745" xr:uid="{00000000-0005-0000-0000-000002100000}"/>
    <cellStyle name="Normal 2 4 9 2 3 3" xfId="10231" xr:uid="{00000000-0005-0000-0000-000003100000}"/>
    <cellStyle name="Normal 2 4 9 2 4" xfId="5297" xr:uid="{00000000-0005-0000-0000-000004100000}"/>
    <cellStyle name="Normal 2 4 9 2 5" xfId="8989" xr:uid="{00000000-0005-0000-0000-000005100000}"/>
    <cellStyle name="Normal 2 4 9 3" xfId="2049" xr:uid="{00000000-0005-0000-0000-000006100000}"/>
    <cellStyle name="Normal 2 4 9 3 2" xfId="5909" xr:uid="{00000000-0005-0000-0000-000007100000}"/>
    <cellStyle name="Normal 2 4 9 3 3" xfId="10843" xr:uid="{00000000-0005-0000-0000-000008100000}"/>
    <cellStyle name="Normal 2 4 9 4" xfId="3277" xr:uid="{00000000-0005-0000-0000-000009100000}"/>
    <cellStyle name="Normal 2 4 9 4 2" xfId="7133" xr:uid="{00000000-0005-0000-0000-00000A100000}"/>
    <cellStyle name="Normal 2 4 9 4 3" xfId="9601" xr:uid="{00000000-0005-0000-0000-00000B100000}"/>
    <cellStyle name="Normal 2 4 9 5" xfId="4685" xr:uid="{00000000-0005-0000-0000-00000C100000}"/>
    <cellStyle name="Normal 2 4 9 6" xfId="8358" xr:uid="{00000000-0005-0000-0000-00000D100000}"/>
    <cellStyle name="Normal 2 40" xfId="179" xr:uid="{00000000-0005-0000-0000-00000E100000}"/>
    <cellStyle name="Normal 2 40 2" xfId="4261" xr:uid="{00000000-0005-0000-0000-00000F100000}"/>
    <cellStyle name="Normal 2 41" xfId="180" xr:uid="{00000000-0005-0000-0000-000010100000}"/>
    <cellStyle name="Normal 2 41 2" xfId="4262" xr:uid="{00000000-0005-0000-0000-000011100000}"/>
    <cellStyle name="Normal 2 42" xfId="181" xr:uid="{00000000-0005-0000-0000-000012100000}"/>
    <cellStyle name="Normal 2 42 2" xfId="4263" xr:uid="{00000000-0005-0000-0000-000013100000}"/>
    <cellStyle name="Normal 2 43" xfId="182" xr:uid="{00000000-0005-0000-0000-000014100000}"/>
    <cellStyle name="Normal 2 43 2" xfId="4264" xr:uid="{00000000-0005-0000-0000-000015100000}"/>
    <cellStyle name="Normal 2 44" xfId="183" xr:uid="{00000000-0005-0000-0000-000016100000}"/>
    <cellStyle name="Normal 2 44 2" xfId="4265" xr:uid="{00000000-0005-0000-0000-000017100000}"/>
    <cellStyle name="Normal 2 45" xfId="184" xr:uid="{00000000-0005-0000-0000-000018100000}"/>
    <cellStyle name="Normal 2 45 2" xfId="4266" xr:uid="{00000000-0005-0000-0000-000019100000}"/>
    <cellStyle name="Normal 2 46" xfId="185" xr:uid="{00000000-0005-0000-0000-00001A100000}"/>
    <cellStyle name="Normal 2 46 2" xfId="4267" xr:uid="{00000000-0005-0000-0000-00001B100000}"/>
    <cellStyle name="Normal 2 47" xfId="186" xr:uid="{00000000-0005-0000-0000-00001C100000}"/>
    <cellStyle name="Normal 2 47 2" xfId="4268" xr:uid="{00000000-0005-0000-0000-00001D100000}"/>
    <cellStyle name="Normal 2 48" xfId="187" xr:uid="{00000000-0005-0000-0000-00001E100000}"/>
    <cellStyle name="Normal 2 48 2" xfId="4269" xr:uid="{00000000-0005-0000-0000-00001F100000}"/>
    <cellStyle name="Normal 2 49" xfId="188" xr:uid="{00000000-0005-0000-0000-000020100000}"/>
    <cellStyle name="Normal 2 49 2" xfId="4270" xr:uid="{00000000-0005-0000-0000-000021100000}"/>
    <cellStyle name="Normal 2 5" xfId="189" xr:uid="{00000000-0005-0000-0000-000022100000}"/>
    <cellStyle name="Normal 2 5 10" xfId="446" xr:uid="{00000000-0005-0000-0000-000023100000}"/>
    <cellStyle name="Normal 2 5 10 2" xfId="4381" xr:uid="{00000000-0005-0000-0000-000024100000}"/>
    <cellStyle name="Normal 2 5 10 3" xfId="10539" xr:uid="{00000000-0005-0000-0000-000025100000}"/>
    <cellStyle name="Normal 2 5 11" xfId="1745" xr:uid="{00000000-0005-0000-0000-000026100000}"/>
    <cellStyle name="Normal 2 5 11 2" xfId="5605" xr:uid="{00000000-0005-0000-0000-000027100000}"/>
    <cellStyle name="Normal 2 5 11 3" xfId="11781" xr:uid="{00000000-0005-0000-0000-000028100000}"/>
    <cellStyle name="Normal 2 5 12" xfId="2972" xr:uid="{00000000-0005-0000-0000-000029100000}"/>
    <cellStyle name="Normal 2 5 12 2" xfId="6829" xr:uid="{00000000-0005-0000-0000-00002A100000}"/>
    <cellStyle name="Normal 2 5 12 3" xfId="9297" xr:uid="{00000000-0005-0000-0000-00002B100000}"/>
    <cellStyle name="Normal 2 5 13" xfId="4271" xr:uid="{00000000-0005-0000-0000-00002C100000}"/>
    <cellStyle name="Normal 2 5 14" xfId="8054" xr:uid="{00000000-0005-0000-0000-00002D100000}"/>
    <cellStyle name="Normal 2 5 2" xfId="467" xr:uid="{00000000-0005-0000-0000-00002E100000}"/>
    <cellStyle name="Normal 2 5 2 10" xfId="4399" xr:uid="{00000000-0005-0000-0000-00002F100000}"/>
    <cellStyle name="Normal 2 5 2 10 2" xfId="9315" xr:uid="{00000000-0005-0000-0000-000030100000}"/>
    <cellStyle name="Normal 2 5 2 11" xfId="8072" xr:uid="{00000000-0005-0000-0000-000031100000}"/>
    <cellStyle name="Normal 2 5 2 2" xfId="580" xr:uid="{00000000-0005-0000-0000-000032100000}"/>
    <cellStyle name="Normal 2 5 2 2 2" xfId="761" xr:uid="{00000000-0005-0000-0000-000033100000}"/>
    <cellStyle name="Normal 2 5 2 2 2 2" xfId="1111" xr:uid="{00000000-0005-0000-0000-000034100000}"/>
    <cellStyle name="Normal 2 5 2 2 2 2 2" xfId="1725" xr:uid="{00000000-0005-0000-0000-000035100000}"/>
    <cellStyle name="Normal 2 5 2 2 2 2 2 2" xfId="2951" xr:uid="{00000000-0005-0000-0000-000036100000}"/>
    <cellStyle name="Normal 2 5 2 2 2 2 2 2 2" xfId="6811" xr:uid="{00000000-0005-0000-0000-000037100000}"/>
    <cellStyle name="Normal 2 5 2 2 2 2 2 2 3" xfId="11763" xr:uid="{00000000-0005-0000-0000-000038100000}"/>
    <cellStyle name="Normal 2 5 2 2 2 2 2 3" xfId="4179" xr:uid="{00000000-0005-0000-0000-000039100000}"/>
    <cellStyle name="Normal 2 5 2 2 2 2 2 3 2" xfId="8035" xr:uid="{00000000-0005-0000-0000-00003A100000}"/>
    <cellStyle name="Normal 2 5 2 2 2 2 2 3 3" xfId="10521" xr:uid="{00000000-0005-0000-0000-00003B100000}"/>
    <cellStyle name="Normal 2 5 2 2 2 2 2 4" xfId="5587" xr:uid="{00000000-0005-0000-0000-00003C100000}"/>
    <cellStyle name="Normal 2 5 2 2 2 2 2 5" xfId="9279" xr:uid="{00000000-0005-0000-0000-00003D100000}"/>
    <cellStyle name="Normal 2 5 2 2 2 2 3" xfId="2339" xr:uid="{00000000-0005-0000-0000-00003E100000}"/>
    <cellStyle name="Normal 2 5 2 2 2 2 3 2" xfId="6199" xr:uid="{00000000-0005-0000-0000-00003F100000}"/>
    <cellStyle name="Normal 2 5 2 2 2 2 3 3" xfId="11115" xr:uid="{00000000-0005-0000-0000-000040100000}"/>
    <cellStyle name="Normal 2 5 2 2 2 2 4" xfId="3567" xr:uid="{00000000-0005-0000-0000-000041100000}"/>
    <cellStyle name="Normal 2 5 2 2 2 2 4 2" xfId="7423" xr:uid="{00000000-0005-0000-0000-000042100000}"/>
    <cellStyle name="Normal 2 5 2 2 2 2 4 3" xfId="9873" xr:uid="{00000000-0005-0000-0000-000043100000}"/>
    <cellStyle name="Normal 2 5 2 2 2 2 5" xfId="4975" xr:uid="{00000000-0005-0000-0000-000044100000}"/>
    <cellStyle name="Normal 2 5 2 2 2 2 6" xfId="8630" xr:uid="{00000000-0005-0000-0000-000045100000}"/>
    <cellStyle name="Normal 2 5 2 2 2 3" xfId="1419" xr:uid="{00000000-0005-0000-0000-000046100000}"/>
    <cellStyle name="Normal 2 5 2 2 2 3 2" xfId="2645" xr:uid="{00000000-0005-0000-0000-000047100000}"/>
    <cellStyle name="Normal 2 5 2 2 2 3 2 2" xfId="6505" xr:uid="{00000000-0005-0000-0000-000048100000}"/>
    <cellStyle name="Normal 2 5 2 2 2 3 2 3" xfId="11457" xr:uid="{00000000-0005-0000-0000-000049100000}"/>
    <cellStyle name="Normal 2 5 2 2 2 3 3" xfId="3873" xr:uid="{00000000-0005-0000-0000-00004A100000}"/>
    <cellStyle name="Normal 2 5 2 2 2 3 3 2" xfId="7729" xr:uid="{00000000-0005-0000-0000-00004B100000}"/>
    <cellStyle name="Normal 2 5 2 2 2 3 3 3" xfId="10215" xr:uid="{00000000-0005-0000-0000-00004C100000}"/>
    <cellStyle name="Normal 2 5 2 2 2 3 4" xfId="5281" xr:uid="{00000000-0005-0000-0000-00004D100000}"/>
    <cellStyle name="Normal 2 5 2 2 2 3 5" xfId="8973" xr:uid="{00000000-0005-0000-0000-00004E100000}"/>
    <cellStyle name="Normal 2 5 2 2 2 4" xfId="2033" xr:uid="{00000000-0005-0000-0000-00004F100000}"/>
    <cellStyle name="Normal 2 5 2 2 2 4 2" xfId="5893" xr:uid="{00000000-0005-0000-0000-000050100000}"/>
    <cellStyle name="Normal 2 5 2 2 2 4 3" xfId="10827" xr:uid="{00000000-0005-0000-0000-000051100000}"/>
    <cellStyle name="Normal 2 5 2 2 2 5" xfId="3260" xr:uid="{00000000-0005-0000-0000-000052100000}"/>
    <cellStyle name="Normal 2 5 2 2 2 5 2" xfId="7117" xr:uid="{00000000-0005-0000-0000-000053100000}"/>
    <cellStyle name="Normal 2 5 2 2 2 5 3" xfId="12033" xr:uid="{00000000-0005-0000-0000-000054100000}"/>
    <cellStyle name="Normal 2 5 2 2 2 6" xfId="4669" xr:uid="{00000000-0005-0000-0000-000055100000}"/>
    <cellStyle name="Normal 2 5 2 2 2 6 2" xfId="9585" xr:uid="{00000000-0005-0000-0000-000056100000}"/>
    <cellStyle name="Normal 2 5 2 2 2 7" xfId="8342" xr:uid="{00000000-0005-0000-0000-000057100000}"/>
    <cellStyle name="Normal 2 5 2 2 3" xfId="671" xr:uid="{00000000-0005-0000-0000-000058100000}"/>
    <cellStyle name="Normal 2 5 2 2 3 2" xfId="1021" xr:uid="{00000000-0005-0000-0000-000059100000}"/>
    <cellStyle name="Normal 2 5 2 2 3 2 2" xfId="1635" xr:uid="{00000000-0005-0000-0000-00005A100000}"/>
    <cellStyle name="Normal 2 5 2 2 3 2 2 2" xfId="2861" xr:uid="{00000000-0005-0000-0000-00005B100000}"/>
    <cellStyle name="Normal 2 5 2 2 3 2 2 2 2" xfId="6721" xr:uid="{00000000-0005-0000-0000-00005C100000}"/>
    <cellStyle name="Normal 2 5 2 2 3 2 2 2 3" xfId="11673" xr:uid="{00000000-0005-0000-0000-00005D100000}"/>
    <cellStyle name="Normal 2 5 2 2 3 2 2 3" xfId="4089" xr:uid="{00000000-0005-0000-0000-00005E100000}"/>
    <cellStyle name="Normal 2 5 2 2 3 2 2 3 2" xfId="7945" xr:uid="{00000000-0005-0000-0000-00005F100000}"/>
    <cellStyle name="Normal 2 5 2 2 3 2 2 3 3" xfId="10431" xr:uid="{00000000-0005-0000-0000-000060100000}"/>
    <cellStyle name="Normal 2 5 2 2 3 2 2 4" xfId="5497" xr:uid="{00000000-0005-0000-0000-000061100000}"/>
    <cellStyle name="Normal 2 5 2 2 3 2 2 5" xfId="9189" xr:uid="{00000000-0005-0000-0000-000062100000}"/>
    <cellStyle name="Normal 2 5 2 2 3 2 3" xfId="2249" xr:uid="{00000000-0005-0000-0000-000063100000}"/>
    <cellStyle name="Normal 2 5 2 2 3 2 3 2" xfId="6109" xr:uid="{00000000-0005-0000-0000-000064100000}"/>
    <cellStyle name="Normal 2 5 2 2 3 2 3 3" xfId="11025" xr:uid="{00000000-0005-0000-0000-000065100000}"/>
    <cellStyle name="Normal 2 5 2 2 3 2 4" xfId="3477" xr:uid="{00000000-0005-0000-0000-000066100000}"/>
    <cellStyle name="Normal 2 5 2 2 3 2 4 2" xfId="7333" xr:uid="{00000000-0005-0000-0000-000067100000}"/>
    <cellStyle name="Normal 2 5 2 2 3 2 4 3" xfId="9783" xr:uid="{00000000-0005-0000-0000-000068100000}"/>
    <cellStyle name="Normal 2 5 2 2 3 2 5" xfId="4885" xr:uid="{00000000-0005-0000-0000-000069100000}"/>
    <cellStyle name="Normal 2 5 2 2 3 2 6" xfId="8540" xr:uid="{00000000-0005-0000-0000-00006A100000}"/>
    <cellStyle name="Normal 2 5 2 2 3 3" xfId="1329" xr:uid="{00000000-0005-0000-0000-00006B100000}"/>
    <cellStyle name="Normal 2 5 2 2 3 3 2" xfId="2555" xr:uid="{00000000-0005-0000-0000-00006C100000}"/>
    <cellStyle name="Normal 2 5 2 2 3 3 2 2" xfId="6415" xr:uid="{00000000-0005-0000-0000-00006D100000}"/>
    <cellStyle name="Normal 2 5 2 2 3 3 2 3" xfId="11367" xr:uid="{00000000-0005-0000-0000-00006E100000}"/>
    <cellStyle name="Normal 2 5 2 2 3 3 3" xfId="3783" xr:uid="{00000000-0005-0000-0000-00006F100000}"/>
    <cellStyle name="Normal 2 5 2 2 3 3 3 2" xfId="7639" xr:uid="{00000000-0005-0000-0000-000070100000}"/>
    <cellStyle name="Normal 2 5 2 2 3 3 3 3" xfId="10125" xr:uid="{00000000-0005-0000-0000-000071100000}"/>
    <cellStyle name="Normal 2 5 2 2 3 3 4" xfId="5191" xr:uid="{00000000-0005-0000-0000-000072100000}"/>
    <cellStyle name="Normal 2 5 2 2 3 3 5" xfId="8883" xr:uid="{00000000-0005-0000-0000-000073100000}"/>
    <cellStyle name="Normal 2 5 2 2 3 4" xfId="1943" xr:uid="{00000000-0005-0000-0000-000074100000}"/>
    <cellStyle name="Normal 2 5 2 2 3 4 2" xfId="5803" xr:uid="{00000000-0005-0000-0000-000075100000}"/>
    <cellStyle name="Normal 2 5 2 2 3 4 3" xfId="10737" xr:uid="{00000000-0005-0000-0000-000076100000}"/>
    <cellStyle name="Normal 2 5 2 2 3 5" xfId="3170" xr:uid="{00000000-0005-0000-0000-000077100000}"/>
    <cellStyle name="Normal 2 5 2 2 3 5 2" xfId="7027" xr:uid="{00000000-0005-0000-0000-000078100000}"/>
    <cellStyle name="Normal 2 5 2 2 3 5 3" xfId="11943" xr:uid="{00000000-0005-0000-0000-000079100000}"/>
    <cellStyle name="Normal 2 5 2 2 3 6" xfId="4579" xr:uid="{00000000-0005-0000-0000-00007A100000}"/>
    <cellStyle name="Normal 2 5 2 2 3 6 2" xfId="9495" xr:uid="{00000000-0005-0000-0000-00007B100000}"/>
    <cellStyle name="Normal 2 5 2 2 3 7" xfId="8252" xr:uid="{00000000-0005-0000-0000-00007C100000}"/>
    <cellStyle name="Normal 2 5 2 2 4" xfId="930" xr:uid="{00000000-0005-0000-0000-00007D100000}"/>
    <cellStyle name="Normal 2 5 2 2 4 2" xfId="1545" xr:uid="{00000000-0005-0000-0000-00007E100000}"/>
    <cellStyle name="Normal 2 5 2 2 4 2 2" xfId="2771" xr:uid="{00000000-0005-0000-0000-00007F100000}"/>
    <cellStyle name="Normal 2 5 2 2 4 2 2 2" xfId="6631" xr:uid="{00000000-0005-0000-0000-000080100000}"/>
    <cellStyle name="Normal 2 5 2 2 4 2 2 3" xfId="11583" xr:uid="{00000000-0005-0000-0000-000081100000}"/>
    <cellStyle name="Normal 2 5 2 2 4 2 3" xfId="3999" xr:uid="{00000000-0005-0000-0000-000082100000}"/>
    <cellStyle name="Normal 2 5 2 2 4 2 3 2" xfId="7855" xr:uid="{00000000-0005-0000-0000-000083100000}"/>
    <cellStyle name="Normal 2 5 2 2 4 2 3 3" xfId="10341" xr:uid="{00000000-0005-0000-0000-000084100000}"/>
    <cellStyle name="Normal 2 5 2 2 4 2 4" xfId="5407" xr:uid="{00000000-0005-0000-0000-000085100000}"/>
    <cellStyle name="Normal 2 5 2 2 4 2 5" xfId="9099" xr:uid="{00000000-0005-0000-0000-000086100000}"/>
    <cellStyle name="Normal 2 5 2 2 4 3" xfId="2159" xr:uid="{00000000-0005-0000-0000-000087100000}"/>
    <cellStyle name="Normal 2 5 2 2 4 3 2" xfId="6019" xr:uid="{00000000-0005-0000-0000-000088100000}"/>
    <cellStyle name="Normal 2 5 2 2 4 3 3" xfId="10935" xr:uid="{00000000-0005-0000-0000-000089100000}"/>
    <cellStyle name="Normal 2 5 2 2 4 4" xfId="3387" xr:uid="{00000000-0005-0000-0000-00008A100000}"/>
    <cellStyle name="Normal 2 5 2 2 4 4 2" xfId="7243" xr:uid="{00000000-0005-0000-0000-00008B100000}"/>
    <cellStyle name="Normal 2 5 2 2 4 4 3" xfId="9693" xr:uid="{00000000-0005-0000-0000-00008C100000}"/>
    <cellStyle name="Normal 2 5 2 2 4 5" xfId="4795" xr:uid="{00000000-0005-0000-0000-00008D100000}"/>
    <cellStyle name="Normal 2 5 2 2 4 6" xfId="8450" xr:uid="{00000000-0005-0000-0000-00008E100000}"/>
    <cellStyle name="Normal 2 5 2 2 5" xfId="1239" xr:uid="{00000000-0005-0000-0000-00008F100000}"/>
    <cellStyle name="Normal 2 5 2 2 5 2" xfId="2465" xr:uid="{00000000-0005-0000-0000-000090100000}"/>
    <cellStyle name="Normal 2 5 2 2 5 2 2" xfId="6325" xr:uid="{00000000-0005-0000-0000-000091100000}"/>
    <cellStyle name="Normal 2 5 2 2 5 2 3" xfId="11277" xr:uid="{00000000-0005-0000-0000-000092100000}"/>
    <cellStyle name="Normal 2 5 2 2 5 3" xfId="3693" xr:uid="{00000000-0005-0000-0000-000093100000}"/>
    <cellStyle name="Normal 2 5 2 2 5 3 2" xfId="7549" xr:uid="{00000000-0005-0000-0000-000094100000}"/>
    <cellStyle name="Normal 2 5 2 2 5 3 3" xfId="10035" xr:uid="{00000000-0005-0000-0000-000095100000}"/>
    <cellStyle name="Normal 2 5 2 2 5 4" xfId="5101" xr:uid="{00000000-0005-0000-0000-000096100000}"/>
    <cellStyle name="Normal 2 5 2 2 5 5" xfId="8793" xr:uid="{00000000-0005-0000-0000-000097100000}"/>
    <cellStyle name="Normal 2 5 2 2 6" xfId="1853" xr:uid="{00000000-0005-0000-0000-000098100000}"/>
    <cellStyle name="Normal 2 5 2 2 6 2" xfId="5713" xr:uid="{00000000-0005-0000-0000-000099100000}"/>
    <cellStyle name="Normal 2 5 2 2 6 3" xfId="10647" xr:uid="{00000000-0005-0000-0000-00009A100000}"/>
    <cellStyle name="Normal 2 5 2 2 7" xfId="3080" xr:uid="{00000000-0005-0000-0000-00009B100000}"/>
    <cellStyle name="Normal 2 5 2 2 7 2" xfId="6937" xr:uid="{00000000-0005-0000-0000-00009C100000}"/>
    <cellStyle name="Normal 2 5 2 2 7 3" xfId="11853" xr:uid="{00000000-0005-0000-0000-00009D100000}"/>
    <cellStyle name="Normal 2 5 2 2 8" xfId="4489" xr:uid="{00000000-0005-0000-0000-00009E100000}"/>
    <cellStyle name="Normal 2 5 2 2 8 2" xfId="9405" xr:uid="{00000000-0005-0000-0000-00009F100000}"/>
    <cellStyle name="Normal 2 5 2 2 9" xfId="8162" xr:uid="{00000000-0005-0000-0000-0000A0100000}"/>
    <cellStyle name="Normal 2 5 2 3" xfId="725" xr:uid="{00000000-0005-0000-0000-0000A1100000}"/>
    <cellStyle name="Normal 2 5 2 3 2" xfId="1075" xr:uid="{00000000-0005-0000-0000-0000A2100000}"/>
    <cellStyle name="Normal 2 5 2 3 2 2" xfId="1689" xr:uid="{00000000-0005-0000-0000-0000A3100000}"/>
    <cellStyle name="Normal 2 5 2 3 2 2 2" xfId="2915" xr:uid="{00000000-0005-0000-0000-0000A4100000}"/>
    <cellStyle name="Normal 2 5 2 3 2 2 2 2" xfId="6775" xr:uid="{00000000-0005-0000-0000-0000A5100000}"/>
    <cellStyle name="Normal 2 5 2 3 2 2 2 3" xfId="11727" xr:uid="{00000000-0005-0000-0000-0000A6100000}"/>
    <cellStyle name="Normal 2 5 2 3 2 2 3" xfId="4143" xr:uid="{00000000-0005-0000-0000-0000A7100000}"/>
    <cellStyle name="Normal 2 5 2 3 2 2 3 2" xfId="7999" xr:uid="{00000000-0005-0000-0000-0000A8100000}"/>
    <cellStyle name="Normal 2 5 2 3 2 2 3 3" xfId="10485" xr:uid="{00000000-0005-0000-0000-0000A9100000}"/>
    <cellStyle name="Normal 2 5 2 3 2 2 4" xfId="5551" xr:uid="{00000000-0005-0000-0000-0000AA100000}"/>
    <cellStyle name="Normal 2 5 2 3 2 2 5" xfId="9243" xr:uid="{00000000-0005-0000-0000-0000AB100000}"/>
    <cellStyle name="Normal 2 5 2 3 2 3" xfId="2303" xr:uid="{00000000-0005-0000-0000-0000AC100000}"/>
    <cellStyle name="Normal 2 5 2 3 2 3 2" xfId="6163" xr:uid="{00000000-0005-0000-0000-0000AD100000}"/>
    <cellStyle name="Normal 2 5 2 3 2 3 3" xfId="11079" xr:uid="{00000000-0005-0000-0000-0000AE100000}"/>
    <cellStyle name="Normal 2 5 2 3 2 4" xfId="3531" xr:uid="{00000000-0005-0000-0000-0000AF100000}"/>
    <cellStyle name="Normal 2 5 2 3 2 4 2" xfId="7387" xr:uid="{00000000-0005-0000-0000-0000B0100000}"/>
    <cellStyle name="Normal 2 5 2 3 2 4 3" xfId="9837" xr:uid="{00000000-0005-0000-0000-0000B1100000}"/>
    <cellStyle name="Normal 2 5 2 3 2 5" xfId="4939" xr:uid="{00000000-0005-0000-0000-0000B2100000}"/>
    <cellStyle name="Normal 2 5 2 3 2 6" xfId="8594" xr:uid="{00000000-0005-0000-0000-0000B3100000}"/>
    <cellStyle name="Normal 2 5 2 3 3" xfId="1383" xr:uid="{00000000-0005-0000-0000-0000B4100000}"/>
    <cellStyle name="Normal 2 5 2 3 3 2" xfId="2609" xr:uid="{00000000-0005-0000-0000-0000B5100000}"/>
    <cellStyle name="Normal 2 5 2 3 3 2 2" xfId="6469" xr:uid="{00000000-0005-0000-0000-0000B6100000}"/>
    <cellStyle name="Normal 2 5 2 3 3 2 3" xfId="11421" xr:uid="{00000000-0005-0000-0000-0000B7100000}"/>
    <cellStyle name="Normal 2 5 2 3 3 3" xfId="3837" xr:uid="{00000000-0005-0000-0000-0000B8100000}"/>
    <cellStyle name="Normal 2 5 2 3 3 3 2" xfId="7693" xr:uid="{00000000-0005-0000-0000-0000B9100000}"/>
    <cellStyle name="Normal 2 5 2 3 3 3 3" xfId="10179" xr:uid="{00000000-0005-0000-0000-0000BA100000}"/>
    <cellStyle name="Normal 2 5 2 3 3 4" xfId="5245" xr:uid="{00000000-0005-0000-0000-0000BB100000}"/>
    <cellStyle name="Normal 2 5 2 3 3 5" xfId="8937" xr:uid="{00000000-0005-0000-0000-0000BC100000}"/>
    <cellStyle name="Normal 2 5 2 3 4" xfId="1997" xr:uid="{00000000-0005-0000-0000-0000BD100000}"/>
    <cellStyle name="Normal 2 5 2 3 4 2" xfId="5857" xr:uid="{00000000-0005-0000-0000-0000BE100000}"/>
    <cellStyle name="Normal 2 5 2 3 4 3" xfId="10791" xr:uid="{00000000-0005-0000-0000-0000BF100000}"/>
    <cellStyle name="Normal 2 5 2 3 5" xfId="3224" xr:uid="{00000000-0005-0000-0000-0000C0100000}"/>
    <cellStyle name="Normal 2 5 2 3 5 2" xfId="7081" xr:uid="{00000000-0005-0000-0000-0000C1100000}"/>
    <cellStyle name="Normal 2 5 2 3 5 3" xfId="11997" xr:uid="{00000000-0005-0000-0000-0000C2100000}"/>
    <cellStyle name="Normal 2 5 2 3 6" xfId="4633" xr:uid="{00000000-0005-0000-0000-0000C3100000}"/>
    <cellStyle name="Normal 2 5 2 3 6 2" xfId="9549" xr:uid="{00000000-0005-0000-0000-0000C4100000}"/>
    <cellStyle name="Normal 2 5 2 3 7" xfId="8306" xr:uid="{00000000-0005-0000-0000-0000C5100000}"/>
    <cellStyle name="Normal 2 5 2 4" xfId="635" xr:uid="{00000000-0005-0000-0000-0000C6100000}"/>
    <cellStyle name="Normal 2 5 2 4 2" xfId="985" xr:uid="{00000000-0005-0000-0000-0000C7100000}"/>
    <cellStyle name="Normal 2 5 2 4 2 2" xfId="1599" xr:uid="{00000000-0005-0000-0000-0000C8100000}"/>
    <cellStyle name="Normal 2 5 2 4 2 2 2" xfId="2825" xr:uid="{00000000-0005-0000-0000-0000C9100000}"/>
    <cellStyle name="Normal 2 5 2 4 2 2 2 2" xfId="6685" xr:uid="{00000000-0005-0000-0000-0000CA100000}"/>
    <cellStyle name="Normal 2 5 2 4 2 2 2 3" xfId="11637" xr:uid="{00000000-0005-0000-0000-0000CB100000}"/>
    <cellStyle name="Normal 2 5 2 4 2 2 3" xfId="4053" xr:uid="{00000000-0005-0000-0000-0000CC100000}"/>
    <cellStyle name="Normal 2 5 2 4 2 2 3 2" xfId="7909" xr:uid="{00000000-0005-0000-0000-0000CD100000}"/>
    <cellStyle name="Normal 2 5 2 4 2 2 3 3" xfId="10395" xr:uid="{00000000-0005-0000-0000-0000CE100000}"/>
    <cellStyle name="Normal 2 5 2 4 2 2 4" xfId="5461" xr:uid="{00000000-0005-0000-0000-0000CF100000}"/>
    <cellStyle name="Normal 2 5 2 4 2 2 5" xfId="9153" xr:uid="{00000000-0005-0000-0000-0000D0100000}"/>
    <cellStyle name="Normal 2 5 2 4 2 3" xfId="2213" xr:uid="{00000000-0005-0000-0000-0000D1100000}"/>
    <cellStyle name="Normal 2 5 2 4 2 3 2" xfId="6073" xr:uid="{00000000-0005-0000-0000-0000D2100000}"/>
    <cellStyle name="Normal 2 5 2 4 2 3 3" xfId="10989" xr:uid="{00000000-0005-0000-0000-0000D3100000}"/>
    <cellStyle name="Normal 2 5 2 4 2 4" xfId="3441" xr:uid="{00000000-0005-0000-0000-0000D4100000}"/>
    <cellStyle name="Normal 2 5 2 4 2 4 2" xfId="7297" xr:uid="{00000000-0005-0000-0000-0000D5100000}"/>
    <cellStyle name="Normal 2 5 2 4 2 4 3" xfId="9747" xr:uid="{00000000-0005-0000-0000-0000D6100000}"/>
    <cellStyle name="Normal 2 5 2 4 2 5" xfId="4849" xr:uid="{00000000-0005-0000-0000-0000D7100000}"/>
    <cellStyle name="Normal 2 5 2 4 2 6" xfId="8504" xr:uid="{00000000-0005-0000-0000-0000D8100000}"/>
    <cellStyle name="Normal 2 5 2 4 3" xfId="1293" xr:uid="{00000000-0005-0000-0000-0000D9100000}"/>
    <cellStyle name="Normal 2 5 2 4 3 2" xfId="2519" xr:uid="{00000000-0005-0000-0000-0000DA100000}"/>
    <cellStyle name="Normal 2 5 2 4 3 2 2" xfId="6379" xr:uid="{00000000-0005-0000-0000-0000DB100000}"/>
    <cellStyle name="Normal 2 5 2 4 3 2 3" xfId="11331" xr:uid="{00000000-0005-0000-0000-0000DC100000}"/>
    <cellStyle name="Normal 2 5 2 4 3 3" xfId="3747" xr:uid="{00000000-0005-0000-0000-0000DD100000}"/>
    <cellStyle name="Normal 2 5 2 4 3 3 2" xfId="7603" xr:uid="{00000000-0005-0000-0000-0000DE100000}"/>
    <cellStyle name="Normal 2 5 2 4 3 3 3" xfId="10089" xr:uid="{00000000-0005-0000-0000-0000DF100000}"/>
    <cellStyle name="Normal 2 5 2 4 3 4" xfId="5155" xr:uid="{00000000-0005-0000-0000-0000E0100000}"/>
    <cellStyle name="Normal 2 5 2 4 3 5" xfId="8847" xr:uid="{00000000-0005-0000-0000-0000E1100000}"/>
    <cellStyle name="Normal 2 5 2 4 4" xfId="1907" xr:uid="{00000000-0005-0000-0000-0000E2100000}"/>
    <cellStyle name="Normal 2 5 2 4 4 2" xfId="5767" xr:uid="{00000000-0005-0000-0000-0000E3100000}"/>
    <cellStyle name="Normal 2 5 2 4 4 3" xfId="10701" xr:uid="{00000000-0005-0000-0000-0000E4100000}"/>
    <cellStyle name="Normal 2 5 2 4 5" xfId="3134" xr:uid="{00000000-0005-0000-0000-0000E5100000}"/>
    <cellStyle name="Normal 2 5 2 4 5 2" xfId="6991" xr:uid="{00000000-0005-0000-0000-0000E6100000}"/>
    <cellStyle name="Normal 2 5 2 4 5 3" xfId="11907" xr:uid="{00000000-0005-0000-0000-0000E7100000}"/>
    <cellStyle name="Normal 2 5 2 4 6" xfId="4543" xr:uid="{00000000-0005-0000-0000-0000E8100000}"/>
    <cellStyle name="Normal 2 5 2 4 6 2" xfId="9459" xr:uid="{00000000-0005-0000-0000-0000E9100000}"/>
    <cellStyle name="Normal 2 5 2 4 7" xfId="8216" xr:uid="{00000000-0005-0000-0000-0000EA100000}"/>
    <cellStyle name="Normal 2 5 2 5" xfId="541" xr:uid="{00000000-0005-0000-0000-0000EB100000}"/>
    <cellStyle name="Normal 2 5 2 5 2" xfId="891" xr:uid="{00000000-0005-0000-0000-0000EC100000}"/>
    <cellStyle name="Normal 2 5 2 5 2 2" xfId="1509" xr:uid="{00000000-0005-0000-0000-0000ED100000}"/>
    <cellStyle name="Normal 2 5 2 5 2 2 2" xfId="2735" xr:uid="{00000000-0005-0000-0000-0000EE100000}"/>
    <cellStyle name="Normal 2 5 2 5 2 2 2 2" xfId="6595" xr:uid="{00000000-0005-0000-0000-0000EF100000}"/>
    <cellStyle name="Normal 2 5 2 5 2 2 2 3" xfId="11547" xr:uid="{00000000-0005-0000-0000-0000F0100000}"/>
    <cellStyle name="Normal 2 5 2 5 2 2 3" xfId="3963" xr:uid="{00000000-0005-0000-0000-0000F1100000}"/>
    <cellStyle name="Normal 2 5 2 5 2 2 3 2" xfId="7819" xr:uid="{00000000-0005-0000-0000-0000F2100000}"/>
    <cellStyle name="Normal 2 5 2 5 2 2 3 3" xfId="10305" xr:uid="{00000000-0005-0000-0000-0000F3100000}"/>
    <cellStyle name="Normal 2 5 2 5 2 2 4" xfId="5371" xr:uid="{00000000-0005-0000-0000-0000F4100000}"/>
    <cellStyle name="Normal 2 5 2 5 2 2 5" xfId="9063" xr:uid="{00000000-0005-0000-0000-0000F5100000}"/>
    <cellStyle name="Normal 2 5 2 5 2 3" xfId="2123" xr:uid="{00000000-0005-0000-0000-0000F6100000}"/>
    <cellStyle name="Normal 2 5 2 5 2 3 2" xfId="5983" xr:uid="{00000000-0005-0000-0000-0000F7100000}"/>
    <cellStyle name="Normal 2 5 2 5 2 3 3" xfId="11151" xr:uid="{00000000-0005-0000-0000-0000F8100000}"/>
    <cellStyle name="Normal 2 5 2 5 2 4" xfId="3351" xr:uid="{00000000-0005-0000-0000-0000F9100000}"/>
    <cellStyle name="Normal 2 5 2 5 2 4 2" xfId="7207" xr:uid="{00000000-0005-0000-0000-0000FA100000}"/>
    <cellStyle name="Normal 2 5 2 5 2 4 3" xfId="9909" xr:uid="{00000000-0005-0000-0000-0000FB100000}"/>
    <cellStyle name="Normal 2 5 2 5 2 5" xfId="4759" xr:uid="{00000000-0005-0000-0000-0000FC100000}"/>
    <cellStyle name="Normal 2 5 2 5 2 6" xfId="8667" xr:uid="{00000000-0005-0000-0000-0000FD100000}"/>
    <cellStyle name="Normal 2 5 2 5 3" xfId="1203" xr:uid="{00000000-0005-0000-0000-0000FE100000}"/>
    <cellStyle name="Normal 2 5 2 5 3 2" xfId="2429" xr:uid="{00000000-0005-0000-0000-0000FF100000}"/>
    <cellStyle name="Normal 2 5 2 5 3 2 2" xfId="6289" xr:uid="{00000000-0005-0000-0000-000000110000}"/>
    <cellStyle name="Normal 2 5 2 5 3 2 3" xfId="11241" xr:uid="{00000000-0005-0000-0000-000001110000}"/>
    <cellStyle name="Normal 2 5 2 5 3 3" xfId="3657" xr:uid="{00000000-0005-0000-0000-000002110000}"/>
    <cellStyle name="Normal 2 5 2 5 3 3 2" xfId="7513" xr:uid="{00000000-0005-0000-0000-000003110000}"/>
    <cellStyle name="Normal 2 5 2 5 3 3 3" xfId="9999" xr:uid="{00000000-0005-0000-0000-000004110000}"/>
    <cellStyle name="Normal 2 5 2 5 3 4" xfId="5065" xr:uid="{00000000-0005-0000-0000-000005110000}"/>
    <cellStyle name="Normal 2 5 2 5 3 5" xfId="8757" xr:uid="{00000000-0005-0000-0000-000006110000}"/>
    <cellStyle name="Normal 2 5 2 5 4" xfId="1817" xr:uid="{00000000-0005-0000-0000-000007110000}"/>
    <cellStyle name="Normal 2 5 2 5 4 2" xfId="5677" xr:uid="{00000000-0005-0000-0000-000008110000}"/>
    <cellStyle name="Normal 2 5 2 5 4 2 2" xfId="11133" xr:uid="{00000000-0005-0000-0000-000009110000}"/>
    <cellStyle name="Normal 2 5 2 5 4 3" xfId="9891" xr:uid="{00000000-0005-0000-0000-00000A110000}"/>
    <cellStyle name="Normal 2 5 2 5 4 4" xfId="8648" xr:uid="{00000000-0005-0000-0000-00000B110000}"/>
    <cellStyle name="Normal 2 5 2 5 5" xfId="3044" xr:uid="{00000000-0005-0000-0000-00000C110000}"/>
    <cellStyle name="Normal 2 5 2 5 5 2" xfId="6901" xr:uid="{00000000-0005-0000-0000-00000D110000}"/>
    <cellStyle name="Normal 2 5 2 5 5 3" xfId="10611" xr:uid="{00000000-0005-0000-0000-00000E110000}"/>
    <cellStyle name="Normal 2 5 2 5 6" xfId="4453" xr:uid="{00000000-0005-0000-0000-00000F110000}"/>
    <cellStyle name="Normal 2 5 2 5 6 2" xfId="9369" xr:uid="{00000000-0005-0000-0000-000010110000}"/>
    <cellStyle name="Normal 2 5 2 5 7" xfId="8126" xr:uid="{00000000-0005-0000-0000-000011110000}"/>
    <cellStyle name="Normal 2 5 2 6" xfId="817" xr:uid="{00000000-0005-0000-0000-000012110000}"/>
    <cellStyle name="Normal 2 5 2 6 2" xfId="1455" xr:uid="{00000000-0005-0000-0000-000013110000}"/>
    <cellStyle name="Normal 2 5 2 6 2 2" xfId="2681" xr:uid="{00000000-0005-0000-0000-000014110000}"/>
    <cellStyle name="Normal 2 5 2 6 2 2 2" xfId="6541" xr:uid="{00000000-0005-0000-0000-000015110000}"/>
    <cellStyle name="Normal 2 5 2 6 2 2 3" xfId="11493" xr:uid="{00000000-0005-0000-0000-000016110000}"/>
    <cellStyle name="Normal 2 5 2 6 2 3" xfId="3909" xr:uid="{00000000-0005-0000-0000-000017110000}"/>
    <cellStyle name="Normal 2 5 2 6 2 3 2" xfId="7765" xr:uid="{00000000-0005-0000-0000-000018110000}"/>
    <cellStyle name="Normal 2 5 2 6 2 3 3" xfId="10251" xr:uid="{00000000-0005-0000-0000-000019110000}"/>
    <cellStyle name="Normal 2 5 2 6 2 4" xfId="5317" xr:uid="{00000000-0005-0000-0000-00001A110000}"/>
    <cellStyle name="Normal 2 5 2 6 2 5" xfId="9009" xr:uid="{00000000-0005-0000-0000-00001B110000}"/>
    <cellStyle name="Normal 2 5 2 6 3" xfId="2069" xr:uid="{00000000-0005-0000-0000-00001C110000}"/>
    <cellStyle name="Normal 2 5 2 6 3 2" xfId="5929" xr:uid="{00000000-0005-0000-0000-00001D110000}"/>
    <cellStyle name="Normal 2 5 2 6 3 3" xfId="10899" xr:uid="{00000000-0005-0000-0000-00001E110000}"/>
    <cellStyle name="Normal 2 5 2 6 4" xfId="3297" xr:uid="{00000000-0005-0000-0000-00001F110000}"/>
    <cellStyle name="Normal 2 5 2 6 4 2" xfId="7153" xr:uid="{00000000-0005-0000-0000-000020110000}"/>
    <cellStyle name="Normal 2 5 2 6 4 3" xfId="9657" xr:uid="{00000000-0005-0000-0000-000021110000}"/>
    <cellStyle name="Normal 2 5 2 6 5" xfId="4705" xr:uid="{00000000-0005-0000-0000-000022110000}"/>
    <cellStyle name="Normal 2 5 2 6 6" xfId="8414" xr:uid="{00000000-0005-0000-0000-000023110000}"/>
    <cellStyle name="Normal 2 5 2 7" xfId="1149" xr:uid="{00000000-0005-0000-0000-000024110000}"/>
    <cellStyle name="Normal 2 5 2 7 2" xfId="2375" xr:uid="{00000000-0005-0000-0000-000025110000}"/>
    <cellStyle name="Normal 2 5 2 7 2 2" xfId="6235" xr:uid="{00000000-0005-0000-0000-000026110000}"/>
    <cellStyle name="Normal 2 5 2 7 2 3" xfId="11187" xr:uid="{00000000-0005-0000-0000-000027110000}"/>
    <cellStyle name="Normal 2 5 2 7 3" xfId="3603" xr:uid="{00000000-0005-0000-0000-000028110000}"/>
    <cellStyle name="Normal 2 5 2 7 3 2" xfId="7459" xr:uid="{00000000-0005-0000-0000-000029110000}"/>
    <cellStyle name="Normal 2 5 2 7 3 3" xfId="9945" xr:uid="{00000000-0005-0000-0000-00002A110000}"/>
    <cellStyle name="Normal 2 5 2 7 4" xfId="5011" xr:uid="{00000000-0005-0000-0000-00002B110000}"/>
    <cellStyle name="Normal 2 5 2 7 5" xfId="8703" xr:uid="{00000000-0005-0000-0000-00002C110000}"/>
    <cellStyle name="Normal 2 5 2 8" xfId="1763" xr:uid="{00000000-0005-0000-0000-00002D110000}"/>
    <cellStyle name="Normal 2 5 2 8 2" xfId="5623" xr:uid="{00000000-0005-0000-0000-00002E110000}"/>
    <cellStyle name="Normal 2 5 2 8 3" xfId="10557" xr:uid="{00000000-0005-0000-0000-00002F110000}"/>
    <cellStyle name="Normal 2 5 2 9" xfId="2990" xr:uid="{00000000-0005-0000-0000-000030110000}"/>
    <cellStyle name="Normal 2 5 2 9 2" xfId="6847" xr:uid="{00000000-0005-0000-0000-000031110000}"/>
    <cellStyle name="Normal 2 5 2 9 3" xfId="11817" xr:uid="{00000000-0005-0000-0000-000032110000}"/>
    <cellStyle name="Normal 2 5 3" xfId="562" xr:uid="{00000000-0005-0000-0000-000033110000}"/>
    <cellStyle name="Normal 2 5 3 2" xfId="743" xr:uid="{00000000-0005-0000-0000-000034110000}"/>
    <cellStyle name="Normal 2 5 3 2 2" xfId="1093" xr:uid="{00000000-0005-0000-0000-000035110000}"/>
    <cellStyle name="Normal 2 5 3 2 2 2" xfId="1707" xr:uid="{00000000-0005-0000-0000-000036110000}"/>
    <cellStyle name="Normal 2 5 3 2 2 2 2" xfId="2933" xr:uid="{00000000-0005-0000-0000-000037110000}"/>
    <cellStyle name="Normal 2 5 3 2 2 2 2 2" xfId="6793" xr:uid="{00000000-0005-0000-0000-000038110000}"/>
    <cellStyle name="Normal 2 5 3 2 2 2 2 3" xfId="11745" xr:uid="{00000000-0005-0000-0000-000039110000}"/>
    <cellStyle name="Normal 2 5 3 2 2 2 3" xfId="4161" xr:uid="{00000000-0005-0000-0000-00003A110000}"/>
    <cellStyle name="Normal 2 5 3 2 2 2 3 2" xfId="8017" xr:uid="{00000000-0005-0000-0000-00003B110000}"/>
    <cellStyle name="Normal 2 5 3 2 2 2 3 3" xfId="10503" xr:uid="{00000000-0005-0000-0000-00003C110000}"/>
    <cellStyle name="Normal 2 5 3 2 2 2 4" xfId="5569" xr:uid="{00000000-0005-0000-0000-00003D110000}"/>
    <cellStyle name="Normal 2 5 3 2 2 2 5" xfId="9261" xr:uid="{00000000-0005-0000-0000-00003E110000}"/>
    <cellStyle name="Normal 2 5 3 2 2 3" xfId="2321" xr:uid="{00000000-0005-0000-0000-00003F110000}"/>
    <cellStyle name="Normal 2 5 3 2 2 3 2" xfId="6181" xr:uid="{00000000-0005-0000-0000-000040110000}"/>
    <cellStyle name="Normal 2 5 3 2 2 3 3" xfId="11097" xr:uid="{00000000-0005-0000-0000-000041110000}"/>
    <cellStyle name="Normal 2 5 3 2 2 4" xfId="3549" xr:uid="{00000000-0005-0000-0000-000042110000}"/>
    <cellStyle name="Normal 2 5 3 2 2 4 2" xfId="7405" xr:uid="{00000000-0005-0000-0000-000043110000}"/>
    <cellStyle name="Normal 2 5 3 2 2 4 3" xfId="9855" xr:uid="{00000000-0005-0000-0000-000044110000}"/>
    <cellStyle name="Normal 2 5 3 2 2 5" xfId="4957" xr:uid="{00000000-0005-0000-0000-000045110000}"/>
    <cellStyle name="Normal 2 5 3 2 2 6" xfId="8612" xr:uid="{00000000-0005-0000-0000-000046110000}"/>
    <cellStyle name="Normal 2 5 3 2 3" xfId="1401" xr:uid="{00000000-0005-0000-0000-000047110000}"/>
    <cellStyle name="Normal 2 5 3 2 3 2" xfId="2627" xr:uid="{00000000-0005-0000-0000-000048110000}"/>
    <cellStyle name="Normal 2 5 3 2 3 2 2" xfId="6487" xr:uid="{00000000-0005-0000-0000-000049110000}"/>
    <cellStyle name="Normal 2 5 3 2 3 2 3" xfId="11439" xr:uid="{00000000-0005-0000-0000-00004A110000}"/>
    <cellStyle name="Normal 2 5 3 2 3 3" xfId="3855" xr:uid="{00000000-0005-0000-0000-00004B110000}"/>
    <cellStyle name="Normal 2 5 3 2 3 3 2" xfId="7711" xr:uid="{00000000-0005-0000-0000-00004C110000}"/>
    <cellStyle name="Normal 2 5 3 2 3 3 3" xfId="10197" xr:uid="{00000000-0005-0000-0000-00004D110000}"/>
    <cellStyle name="Normal 2 5 3 2 3 4" xfId="5263" xr:uid="{00000000-0005-0000-0000-00004E110000}"/>
    <cellStyle name="Normal 2 5 3 2 3 5" xfId="8955" xr:uid="{00000000-0005-0000-0000-00004F110000}"/>
    <cellStyle name="Normal 2 5 3 2 4" xfId="2015" xr:uid="{00000000-0005-0000-0000-000050110000}"/>
    <cellStyle name="Normal 2 5 3 2 4 2" xfId="5875" xr:uid="{00000000-0005-0000-0000-000051110000}"/>
    <cellStyle name="Normal 2 5 3 2 4 3" xfId="10809" xr:uid="{00000000-0005-0000-0000-000052110000}"/>
    <cellStyle name="Normal 2 5 3 2 5" xfId="3242" xr:uid="{00000000-0005-0000-0000-000053110000}"/>
    <cellStyle name="Normal 2 5 3 2 5 2" xfId="7099" xr:uid="{00000000-0005-0000-0000-000054110000}"/>
    <cellStyle name="Normal 2 5 3 2 5 3" xfId="12015" xr:uid="{00000000-0005-0000-0000-000055110000}"/>
    <cellStyle name="Normal 2 5 3 2 6" xfId="4651" xr:uid="{00000000-0005-0000-0000-000056110000}"/>
    <cellStyle name="Normal 2 5 3 2 6 2" xfId="9567" xr:uid="{00000000-0005-0000-0000-000057110000}"/>
    <cellStyle name="Normal 2 5 3 2 7" xfId="8324" xr:uid="{00000000-0005-0000-0000-000058110000}"/>
    <cellStyle name="Normal 2 5 3 3" xfId="653" xr:uid="{00000000-0005-0000-0000-000059110000}"/>
    <cellStyle name="Normal 2 5 3 3 2" xfId="1003" xr:uid="{00000000-0005-0000-0000-00005A110000}"/>
    <cellStyle name="Normal 2 5 3 3 2 2" xfId="1617" xr:uid="{00000000-0005-0000-0000-00005B110000}"/>
    <cellStyle name="Normal 2 5 3 3 2 2 2" xfId="2843" xr:uid="{00000000-0005-0000-0000-00005C110000}"/>
    <cellStyle name="Normal 2 5 3 3 2 2 2 2" xfId="6703" xr:uid="{00000000-0005-0000-0000-00005D110000}"/>
    <cellStyle name="Normal 2 5 3 3 2 2 2 3" xfId="11655" xr:uid="{00000000-0005-0000-0000-00005E110000}"/>
    <cellStyle name="Normal 2 5 3 3 2 2 3" xfId="4071" xr:uid="{00000000-0005-0000-0000-00005F110000}"/>
    <cellStyle name="Normal 2 5 3 3 2 2 3 2" xfId="7927" xr:uid="{00000000-0005-0000-0000-000060110000}"/>
    <cellStyle name="Normal 2 5 3 3 2 2 3 3" xfId="10413" xr:uid="{00000000-0005-0000-0000-000061110000}"/>
    <cellStyle name="Normal 2 5 3 3 2 2 4" xfId="5479" xr:uid="{00000000-0005-0000-0000-000062110000}"/>
    <cellStyle name="Normal 2 5 3 3 2 2 5" xfId="9171" xr:uid="{00000000-0005-0000-0000-000063110000}"/>
    <cellStyle name="Normal 2 5 3 3 2 3" xfId="2231" xr:uid="{00000000-0005-0000-0000-000064110000}"/>
    <cellStyle name="Normal 2 5 3 3 2 3 2" xfId="6091" xr:uid="{00000000-0005-0000-0000-000065110000}"/>
    <cellStyle name="Normal 2 5 3 3 2 3 3" xfId="11007" xr:uid="{00000000-0005-0000-0000-000066110000}"/>
    <cellStyle name="Normal 2 5 3 3 2 4" xfId="3459" xr:uid="{00000000-0005-0000-0000-000067110000}"/>
    <cellStyle name="Normal 2 5 3 3 2 4 2" xfId="7315" xr:uid="{00000000-0005-0000-0000-000068110000}"/>
    <cellStyle name="Normal 2 5 3 3 2 4 3" xfId="9765" xr:uid="{00000000-0005-0000-0000-000069110000}"/>
    <cellStyle name="Normal 2 5 3 3 2 5" xfId="4867" xr:uid="{00000000-0005-0000-0000-00006A110000}"/>
    <cellStyle name="Normal 2 5 3 3 2 6" xfId="8522" xr:uid="{00000000-0005-0000-0000-00006B110000}"/>
    <cellStyle name="Normal 2 5 3 3 3" xfId="1311" xr:uid="{00000000-0005-0000-0000-00006C110000}"/>
    <cellStyle name="Normal 2 5 3 3 3 2" xfId="2537" xr:uid="{00000000-0005-0000-0000-00006D110000}"/>
    <cellStyle name="Normal 2 5 3 3 3 2 2" xfId="6397" xr:uid="{00000000-0005-0000-0000-00006E110000}"/>
    <cellStyle name="Normal 2 5 3 3 3 2 3" xfId="11349" xr:uid="{00000000-0005-0000-0000-00006F110000}"/>
    <cellStyle name="Normal 2 5 3 3 3 3" xfId="3765" xr:uid="{00000000-0005-0000-0000-000070110000}"/>
    <cellStyle name="Normal 2 5 3 3 3 3 2" xfId="7621" xr:uid="{00000000-0005-0000-0000-000071110000}"/>
    <cellStyle name="Normal 2 5 3 3 3 3 3" xfId="10107" xr:uid="{00000000-0005-0000-0000-000072110000}"/>
    <cellStyle name="Normal 2 5 3 3 3 4" xfId="5173" xr:uid="{00000000-0005-0000-0000-000073110000}"/>
    <cellStyle name="Normal 2 5 3 3 3 5" xfId="8865" xr:uid="{00000000-0005-0000-0000-000074110000}"/>
    <cellStyle name="Normal 2 5 3 3 4" xfId="1925" xr:uid="{00000000-0005-0000-0000-000075110000}"/>
    <cellStyle name="Normal 2 5 3 3 4 2" xfId="5785" xr:uid="{00000000-0005-0000-0000-000076110000}"/>
    <cellStyle name="Normal 2 5 3 3 4 3" xfId="10719" xr:uid="{00000000-0005-0000-0000-000077110000}"/>
    <cellStyle name="Normal 2 5 3 3 5" xfId="3152" xr:uid="{00000000-0005-0000-0000-000078110000}"/>
    <cellStyle name="Normal 2 5 3 3 5 2" xfId="7009" xr:uid="{00000000-0005-0000-0000-000079110000}"/>
    <cellStyle name="Normal 2 5 3 3 5 3" xfId="11925" xr:uid="{00000000-0005-0000-0000-00007A110000}"/>
    <cellStyle name="Normal 2 5 3 3 6" xfId="4561" xr:uid="{00000000-0005-0000-0000-00007B110000}"/>
    <cellStyle name="Normal 2 5 3 3 6 2" xfId="9477" xr:uid="{00000000-0005-0000-0000-00007C110000}"/>
    <cellStyle name="Normal 2 5 3 3 7" xfId="8234" xr:uid="{00000000-0005-0000-0000-00007D110000}"/>
    <cellStyle name="Normal 2 5 3 4" xfId="912" xr:uid="{00000000-0005-0000-0000-00007E110000}"/>
    <cellStyle name="Normal 2 5 3 4 2" xfId="1527" xr:uid="{00000000-0005-0000-0000-00007F110000}"/>
    <cellStyle name="Normal 2 5 3 4 2 2" xfId="2753" xr:uid="{00000000-0005-0000-0000-000080110000}"/>
    <cellStyle name="Normal 2 5 3 4 2 2 2" xfId="6613" xr:uid="{00000000-0005-0000-0000-000081110000}"/>
    <cellStyle name="Normal 2 5 3 4 2 2 3" xfId="11565" xr:uid="{00000000-0005-0000-0000-000082110000}"/>
    <cellStyle name="Normal 2 5 3 4 2 3" xfId="3981" xr:uid="{00000000-0005-0000-0000-000083110000}"/>
    <cellStyle name="Normal 2 5 3 4 2 3 2" xfId="7837" xr:uid="{00000000-0005-0000-0000-000084110000}"/>
    <cellStyle name="Normal 2 5 3 4 2 3 3" xfId="10323" xr:uid="{00000000-0005-0000-0000-000085110000}"/>
    <cellStyle name="Normal 2 5 3 4 2 4" xfId="5389" xr:uid="{00000000-0005-0000-0000-000086110000}"/>
    <cellStyle name="Normal 2 5 3 4 2 5" xfId="9081" xr:uid="{00000000-0005-0000-0000-000087110000}"/>
    <cellStyle name="Normal 2 5 3 4 3" xfId="2141" xr:uid="{00000000-0005-0000-0000-000088110000}"/>
    <cellStyle name="Normal 2 5 3 4 3 2" xfId="6001" xr:uid="{00000000-0005-0000-0000-000089110000}"/>
    <cellStyle name="Normal 2 5 3 4 3 3" xfId="10917" xr:uid="{00000000-0005-0000-0000-00008A110000}"/>
    <cellStyle name="Normal 2 5 3 4 4" xfId="3369" xr:uid="{00000000-0005-0000-0000-00008B110000}"/>
    <cellStyle name="Normal 2 5 3 4 4 2" xfId="7225" xr:uid="{00000000-0005-0000-0000-00008C110000}"/>
    <cellStyle name="Normal 2 5 3 4 4 3" xfId="9675" xr:uid="{00000000-0005-0000-0000-00008D110000}"/>
    <cellStyle name="Normal 2 5 3 4 5" xfId="4777" xr:uid="{00000000-0005-0000-0000-00008E110000}"/>
    <cellStyle name="Normal 2 5 3 4 6" xfId="8432" xr:uid="{00000000-0005-0000-0000-00008F110000}"/>
    <cellStyle name="Normal 2 5 3 5" xfId="1221" xr:uid="{00000000-0005-0000-0000-000090110000}"/>
    <cellStyle name="Normal 2 5 3 5 2" xfId="2447" xr:uid="{00000000-0005-0000-0000-000091110000}"/>
    <cellStyle name="Normal 2 5 3 5 2 2" xfId="6307" xr:uid="{00000000-0005-0000-0000-000092110000}"/>
    <cellStyle name="Normal 2 5 3 5 2 3" xfId="11259" xr:uid="{00000000-0005-0000-0000-000093110000}"/>
    <cellStyle name="Normal 2 5 3 5 3" xfId="3675" xr:uid="{00000000-0005-0000-0000-000094110000}"/>
    <cellStyle name="Normal 2 5 3 5 3 2" xfId="7531" xr:uid="{00000000-0005-0000-0000-000095110000}"/>
    <cellStyle name="Normal 2 5 3 5 3 3" xfId="10017" xr:uid="{00000000-0005-0000-0000-000096110000}"/>
    <cellStyle name="Normal 2 5 3 5 4" xfId="5083" xr:uid="{00000000-0005-0000-0000-000097110000}"/>
    <cellStyle name="Normal 2 5 3 5 5" xfId="8775" xr:uid="{00000000-0005-0000-0000-000098110000}"/>
    <cellStyle name="Normal 2 5 3 6" xfId="1835" xr:uid="{00000000-0005-0000-0000-000099110000}"/>
    <cellStyle name="Normal 2 5 3 6 2" xfId="5695" xr:uid="{00000000-0005-0000-0000-00009A110000}"/>
    <cellStyle name="Normal 2 5 3 6 3" xfId="10629" xr:uid="{00000000-0005-0000-0000-00009B110000}"/>
    <cellStyle name="Normal 2 5 3 7" xfId="3062" xr:uid="{00000000-0005-0000-0000-00009C110000}"/>
    <cellStyle name="Normal 2 5 3 7 2" xfId="6919" xr:uid="{00000000-0005-0000-0000-00009D110000}"/>
    <cellStyle name="Normal 2 5 3 7 3" xfId="11835" xr:uid="{00000000-0005-0000-0000-00009E110000}"/>
    <cellStyle name="Normal 2 5 3 8" xfId="4471" xr:uid="{00000000-0005-0000-0000-00009F110000}"/>
    <cellStyle name="Normal 2 5 3 8 2" xfId="9387" xr:uid="{00000000-0005-0000-0000-0000A0110000}"/>
    <cellStyle name="Normal 2 5 3 9" xfId="8144" xr:uid="{00000000-0005-0000-0000-0000A1110000}"/>
    <cellStyle name="Normal 2 5 4" xfId="505" xr:uid="{00000000-0005-0000-0000-0000A2110000}"/>
    <cellStyle name="Normal 2 5 4 2" xfId="707" xr:uid="{00000000-0005-0000-0000-0000A3110000}"/>
    <cellStyle name="Normal 2 5 4 2 2" xfId="1057" xr:uid="{00000000-0005-0000-0000-0000A4110000}"/>
    <cellStyle name="Normal 2 5 4 2 2 2" xfId="1671" xr:uid="{00000000-0005-0000-0000-0000A5110000}"/>
    <cellStyle name="Normal 2 5 4 2 2 2 2" xfId="2897" xr:uid="{00000000-0005-0000-0000-0000A6110000}"/>
    <cellStyle name="Normal 2 5 4 2 2 2 2 2" xfId="6757" xr:uid="{00000000-0005-0000-0000-0000A7110000}"/>
    <cellStyle name="Normal 2 5 4 2 2 2 2 3" xfId="11709" xr:uid="{00000000-0005-0000-0000-0000A8110000}"/>
    <cellStyle name="Normal 2 5 4 2 2 2 3" xfId="4125" xr:uid="{00000000-0005-0000-0000-0000A9110000}"/>
    <cellStyle name="Normal 2 5 4 2 2 2 3 2" xfId="7981" xr:uid="{00000000-0005-0000-0000-0000AA110000}"/>
    <cellStyle name="Normal 2 5 4 2 2 2 3 3" xfId="10467" xr:uid="{00000000-0005-0000-0000-0000AB110000}"/>
    <cellStyle name="Normal 2 5 4 2 2 2 4" xfId="5533" xr:uid="{00000000-0005-0000-0000-0000AC110000}"/>
    <cellStyle name="Normal 2 5 4 2 2 2 5" xfId="9225" xr:uid="{00000000-0005-0000-0000-0000AD110000}"/>
    <cellStyle name="Normal 2 5 4 2 2 3" xfId="2285" xr:uid="{00000000-0005-0000-0000-0000AE110000}"/>
    <cellStyle name="Normal 2 5 4 2 2 3 2" xfId="6145" xr:uid="{00000000-0005-0000-0000-0000AF110000}"/>
    <cellStyle name="Normal 2 5 4 2 2 3 3" xfId="11061" xr:uid="{00000000-0005-0000-0000-0000B0110000}"/>
    <cellStyle name="Normal 2 5 4 2 2 4" xfId="3513" xr:uid="{00000000-0005-0000-0000-0000B1110000}"/>
    <cellStyle name="Normal 2 5 4 2 2 4 2" xfId="7369" xr:uid="{00000000-0005-0000-0000-0000B2110000}"/>
    <cellStyle name="Normal 2 5 4 2 2 4 3" xfId="9819" xr:uid="{00000000-0005-0000-0000-0000B3110000}"/>
    <cellStyle name="Normal 2 5 4 2 2 5" xfId="4921" xr:uid="{00000000-0005-0000-0000-0000B4110000}"/>
    <cellStyle name="Normal 2 5 4 2 2 6" xfId="8576" xr:uid="{00000000-0005-0000-0000-0000B5110000}"/>
    <cellStyle name="Normal 2 5 4 2 3" xfId="1365" xr:uid="{00000000-0005-0000-0000-0000B6110000}"/>
    <cellStyle name="Normal 2 5 4 2 3 2" xfId="2591" xr:uid="{00000000-0005-0000-0000-0000B7110000}"/>
    <cellStyle name="Normal 2 5 4 2 3 2 2" xfId="6451" xr:uid="{00000000-0005-0000-0000-0000B8110000}"/>
    <cellStyle name="Normal 2 5 4 2 3 2 3" xfId="11403" xr:uid="{00000000-0005-0000-0000-0000B9110000}"/>
    <cellStyle name="Normal 2 5 4 2 3 3" xfId="3819" xr:uid="{00000000-0005-0000-0000-0000BA110000}"/>
    <cellStyle name="Normal 2 5 4 2 3 3 2" xfId="7675" xr:uid="{00000000-0005-0000-0000-0000BB110000}"/>
    <cellStyle name="Normal 2 5 4 2 3 3 3" xfId="10161" xr:uid="{00000000-0005-0000-0000-0000BC110000}"/>
    <cellStyle name="Normal 2 5 4 2 3 4" xfId="5227" xr:uid="{00000000-0005-0000-0000-0000BD110000}"/>
    <cellStyle name="Normal 2 5 4 2 3 5" xfId="8919" xr:uid="{00000000-0005-0000-0000-0000BE110000}"/>
    <cellStyle name="Normal 2 5 4 2 4" xfId="1979" xr:uid="{00000000-0005-0000-0000-0000BF110000}"/>
    <cellStyle name="Normal 2 5 4 2 4 2" xfId="5839" xr:uid="{00000000-0005-0000-0000-0000C0110000}"/>
    <cellStyle name="Normal 2 5 4 2 4 3" xfId="10773" xr:uid="{00000000-0005-0000-0000-0000C1110000}"/>
    <cellStyle name="Normal 2 5 4 2 5" xfId="3206" xr:uid="{00000000-0005-0000-0000-0000C2110000}"/>
    <cellStyle name="Normal 2 5 4 2 5 2" xfId="7063" xr:uid="{00000000-0005-0000-0000-0000C3110000}"/>
    <cellStyle name="Normal 2 5 4 2 5 3" xfId="11979" xr:uid="{00000000-0005-0000-0000-0000C4110000}"/>
    <cellStyle name="Normal 2 5 4 2 6" xfId="4615" xr:uid="{00000000-0005-0000-0000-0000C5110000}"/>
    <cellStyle name="Normal 2 5 4 2 6 2" xfId="9531" xr:uid="{00000000-0005-0000-0000-0000C6110000}"/>
    <cellStyle name="Normal 2 5 4 2 7" xfId="8288" xr:uid="{00000000-0005-0000-0000-0000C7110000}"/>
    <cellStyle name="Normal 2 5 4 3" xfId="617" xr:uid="{00000000-0005-0000-0000-0000C8110000}"/>
    <cellStyle name="Normal 2 5 4 3 2" xfId="967" xr:uid="{00000000-0005-0000-0000-0000C9110000}"/>
    <cellStyle name="Normal 2 5 4 3 2 2" xfId="1581" xr:uid="{00000000-0005-0000-0000-0000CA110000}"/>
    <cellStyle name="Normal 2 5 4 3 2 2 2" xfId="2807" xr:uid="{00000000-0005-0000-0000-0000CB110000}"/>
    <cellStyle name="Normal 2 5 4 3 2 2 2 2" xfId="6667" xr:uid="{00000000-0005-0000-0000-0000CC110000}"/>
    <cellStyle name="Normal 2 5 4 3 2 2 2 3" xfId="11619" xr:uid="{00000000-0005-0000-0000-0000CD110000}"/>
    <cellStyle name="Normal 2 5 4 3 2 2 3" xfId="4035" xr:uid="{00000000-0005-0000-0000-0000CE110000}"/>
    <cellStyle name="Normal 2 5 4 3 2 2 3 2" xfId="7891" xr:uid="{00000000-0005-0000-0000-0000CF110000}"/>
    <cellStyle name="Normal 2 5 4 3 2 2 3 3" xfId="10377" xr:uid="{00000000-0005-0000-0000-0000D0110000}"/>
    <cellStyle name="Normal 2 5 4 3 2 2 4" xfId="5443" xr:uid="{00000000-0005-0000-0000-0000D1110000}"/>
    <cellStyle name="Normal 2 5 4 3 2 2 5" xfId="9135" xr:uid="{00000000-0005-0000-0000-0000D2110000}"/>
    <cellStyle name="Normal 2 5 4 3 2 3" xfId="2195" xr:uid="{00000000-0005-0000-0000-0000D3110000}"/>
    <cellStyle name="Normal 2 5 4 3 2 3 2" xfId="6055" xr:uid="{00000000-0005-0000-0000-0000D4110000}"/>
    <cellStyle name="Normal 2 5 4 3 2 3 3" xfId="10971" xr:uid="{00000000-0005-0000-0000-0000D5110000}"/>
    <cellStyle name="Normal 2 5 4 3 2 4" xfId="3423" xr:uid="{00000000-0005-0000-0000-0000D6110000}"/>
    <cellStyle name="Normal 2 5 4 3 2 4 2" xfId="7279" xr:uid="{00000000-0005-0000-0000-0000D7110000}"/>
    <cellStyle name="Normal 2 5 4 3 2 4 3" xfId="9729" xr:uid="{00000000-0005-0000-0000-0000D8110000}"/>
    <cellStyle name="Normal 2 5 4 3 2 5" xfId="4831" xr:uid="{00000000-0005-0000-0000-0000D9110000}"/>
    <cellStyle name="Normal 2 5 4 3 2 6" xfId="8486" xr:uid="{00000000-0005-0000-0000-0000DA110000}"/>
    <cellStyle name="Normal 2 5 4 3 3" xfId="1275" xr:uid="{00000000-0005-0000-0000-0000DB110000}"/>
    <cellStyle name="Normal 2 5 4 3 3 2" xfId="2501" xr:uid="{00000000-0005-0000-0000-0000DC110000}"/>
    <cellStyle name="Normal 2 5 4 3 3 2 2" xfId="6361" xr:uid="{00000000-0005-0000-0000-0000DD110000}"/>
    <cellStyle name="Normal 2 5 4 3 3 2 3" xfId="11313" xr:uid="{00000000-0005-0000-0000-0000DE110000}"/>
    <cellStyle name="Normal 2 5 4 3 3 3" xfId="3729" xr:uid="{00000000-0005-0000-0000-0000DF110000}"/>
    <cellStyle name="Normal 2 5 4 3 3 3 2" xfId="7585" xr:uid="{00000000-0005-0000-0000-0000E0110000}"/>
    <cellStyle name="Normal 2 5 4 3 3 3 3" xfId="10071" xr:uid="{00000000-0005-0000-0000-0000E1110000}"/>
    <cellStyle name="Normal 2 5 4 3 3 4" xfId="5137" xr:uid="{00000000-0005-0000-0000-0000E2110000}"/>
    <cellStyle name="Normal 2 5 4 3 3 5" xfId="8829" xr:uid="{00000000-0005-0000-0000-0000E3110000}"/>
    <cellStyle name="Normal 2 5 4 3 4" xfId="1889" xr:uid="{00000000-0005-0000-0000-0000E4110000}"/>
    <cellStyle name="Normal 2 5 4 3 4 2" xfId="5749" xr:uid="{00000000-0005-0000-0000-0000E5110000}"/>
    <cellStyle name="Normal 2 5 4 3 4 3" xfId="10683" xr:uid="{00000000-0005-0000-0000-0000E6110000}"/>
    <cellStyle name="Normal 2 5 4 3 5" xfId="3116" xr:uid="{00000000-0005-0000-0000-0000E7110000}"/>
    <cellStyle name="Normal 2 5 4 3 5 2" xfId="6973" xr:uid="{00000000-0005-0000-0000-0000E8110000}"/>
    <cellStyle name="Normal 2 5 4 3 5 3" xfId="11889" xr:uid="{00000000-0005-0000-0000-0000E9110000}"/>
    <cellStyle name="Normal 2 5 4 3 6" xfId="4525" xr:uid="{00000000-0005-0000-0000-0000EA110000}"/>
    <cellStyle name="Normal 2 5 4 3 6 2" xfId="9441" xr:uid="{00000000-0005-0000-0000-0000EB110000}"/>
    <cellStyle name="Normal 2 5 4 3 7" xfId="8198" xr:uid="{00000000-0005-0000-0000-0000EC110000}"/>
    <cellStyle name="Normal 2 5 4 4" xfId="855" xr:uid="{00000000-0005-0000-0000-0000ED110000}"/>
    <cellStyle name="Normal 2 5 4 4 2" xfId="1491" xr:uid="{00000000-0005-0000-0000-0000EE110000}"/>
    <cellStyle name="Normal 2 5 4 4 2 2" xfId="2717" xr:uid="{00000000-0005-0000-0000-0000EF110000}"/>
    <cellStyle name="Normal 2 5 4 4 2 2 2" xfId="6577" xr:uid="{00000000-0005-0000-0000-0000F0110000}"/>
    <cellStyle name="Normal 2 5 4 4 2 2 3" xfId="11529" xr:uid="{00000000-0005-0000-0000-0000F1110000}"/>
    <cellStyle name="Normal 2 5 4 4 2 3" xfId="3945" xr:uid="{00000000-0005-0000-0000-0000F2110000}"/>
    <cellStyle name="Normal 2 5 4 4 2 3 2" xfId="7801" xr:uid="{00000000-0005-0000-0000-0000F3110000}"/>
    <cellStyle name="Normal 2 5 4 4 2 3 3" xfId="10287" xr:uid="{00000000-0005-0000-0000-0000F4110000}"/>
    <cellStyle name="Normal 2 5 4 4 2 4" xfId="5353" xr:uid="{00000000-0005-0000-0000-0000F5110000}"/>
    <cellStyle name="Normal 2 5 4 4 2 5" xfId="9045" xr:uid="{00000000-0005-0000-0000-0000F6110000}"/>
    <cellStyle name="Normal 2 5 4 4 3" xfId="2105" xr:uid="{00000000-0005-0000-0000-0000F7110000}"/>
    <cellStyle name="Normal 2 5 4 4 3 2" xfId="5965" xr:uid="{00000000-0005-0000-0000-0000F8110000}"/>
    <cellStyle name="Normal 2 5 4 4 3 3" xfId="10881" xr:uid="{00000000-0005-0000-0000-0000F9110000}"/>
    <cellStyle name="Normal 2 5 4 4 4" xfId="3333" xr:uid="{00000000-0005-0000-0000-0000FA110000}"/>
    <cellStyle name="Normal 2 5 4 4 4 2" xfId="7189" xr:uid="{00000000-0005-0000-0000-0000FB110000}"/>
    <cellStyle name="Normal 2 5 4 4 4 3" xfId="9639" xr:uid="{00000000-0005-0000-0000-0000FC110000}"/>
    <cellStyle name="Normal 2 5 4 4 5" xfId="4741" xr:uid="{00000000-0005-0000-0000-0000FD110000}"/>
    <cellStyle name="Normal 2 5 4 4 6" xfId="8396" xr:uid="{00000000-0005-0000-0000-0000FE110000}"/>
    <cellStyle name="Normal 2 5 4 5" xfId="1185" xr:uid="{00000000-0005-0000-0000-0000FF110000}"/>
    <cellStyle name="Normal 2 5 4 5 2" xfId="2411" xr:uid="{00000000-0005-0000-0000-000000120000}"/>
    <cellStyle name="Normal 2 5 4 5 2 2" xfId="6271" xr:uid="{00000000-0005-0000-0000-000001120000}"/>
    <cellStyle name="Normal 2 5 4 5 2 3" xfId="11223" xr:uid="{00000000-0005-0000-0000-000002120000}"/>
    <cellStyle name="Normal 2 5 4 5 3" xfId="3639" xr:uid="{00000000-0005-0000-0000-000003120000}"/>
    <cellStyle name="Normal 2 5 4 5 3 2" xfId="7495" xr:uid="{00000000-0005-0000-0000-000004120000}"/>
    <cellStyle name="Normal 2 5 4 5 3 3" xfId="9981" xr:uid="{00000000-0005-0000-0000-000005120000}"/>
    <cellStyle name="Normal 2 5 4 5 4" xfId="5047" xr:uid="{00000000-0005-0000-0000-000006120000}"/>
    <cellStyle name="Normal 2 5 4 5 5" xfId="8739" xr:uid="{00000000-0005-0000-0000-000007120000}"/>
    <cellStyle name="Normal 2 5 4 6" xfId="1799" xr:uid="{00000000-0005-0000-0000-000008120000}"/>
    <cellStyle name="Normal 2 5 4 6 2" xfId="5659" xr:uid="{00000000-0005-0000-0000-000009120000}"/>
    <cellStyle name="Normal 2 5 4 6 3" xfId="10593" xr:uid="{00000000-0005-0000-0000-00000A120000}"/>
    <cellStyle name="Normal 2 5 4 7" xfId="3026" xr:uid="{00000000-0005-0000-0000-00000B120000}"/>
    <cellStyle name="Normal 2 5 4 7 2" xfId="6883" xr:uid="{00000000-0005-0000-0000-00000C120000}"/>
    <cellStyle name="Normal 2 5 4 7 3" xfId="11799" xr:uid="{00000000-0005-0000-0000-00000D120000}"/>
    <cellStyle name="Normal 2 5 4 8" xfId="4435" xr:uid="{00000000-0005-0000-0000-00000E120000}"/>
    <cellStyle name="Normal 2 5 4 8 2" xfId="9351" xr:uid="{00000000-0005-0000-0000-00000F120000}"/>
    <cellStyle name="Normal 2 5 4 9" xfId="8108" xr:uid="{00000000-0005-0000-0000-000010120000}"/>
    <cellStyle name="Normal 2 5 5" xfId="689" xr:uid="{00000000-0005-0000-0000-000011120000}"/>
    <cellStyle name="Normal 2 5 5 2" xfId="1039" xr:uid="{00000000-0005-0000-0000-000012120000}"/>
    <cellStyle name="Normal 2 5 5 2 2" xfId="1653" xr:uid="{00000000-0005-0000-0000-000013120000}"/>
    <cellStyle name="Normal 2 5 5 2 2 2" xfId="2879" xr:uid="{00000000-0005-0000-0000-000014120000}"/>
    <cellStyle name="Normal 2 5 5 2 2 2 2" xfId="6739" xr:uid="{00000000-0005-0000-0000-000015120000}"/>
    <cellStyle name="Normal 2 5 5 2 2 2 3" xfId="11691" xr:uid="{00000000-0005-0000-0000-000016120000}"/>
    <cellStyle name="Normal 2 5 5 2 2 3" xfId="4107" xr:uid="{00000000-0005-0000-0000-000017120000}"/>
    <cellStyle name="Normal 2 5 5 2 2 3 2" xfId="7963" xr:uid="{00000000-0005-0000-0000-000018120000}"/>
    <cellStyle name="Normal 2 5 5 2 2 3 3" xfId="10449" xr:uid="{00000000-0005-0000-0000-000019120000}"/>
    <cellStyle name="Normal 2 5 5 2 2 4" xfId="5515" xr:uid="{00000000-0005-0000-0000-00001A120000}"/>
    <cellStyle name="Normal 2 5 5 2 2 5" xfId="9207" xr:uid="{00000000-0005-0000-0000-00001B120000}"/>
    <cellStyle name="Normal 2 5 5 2 3" xfId="2267" xr:uid="{00000000-0005-0000-0000-00001C120000}"/>
    <cellStyle name="Normal 2 5 5 2 3 2" xfId="6127" xr:uid="{00000000-0005-0000-0000-00001D120000}"/>
    <cellStyle name="Normal 2 5 5 2 3 3" xfId="11043" xr:uid="{00000000-0005-0000-0000-00001E120000}"/>
    <cellStyle name="Normal 2 5 5 2 4" xfId="3495" xr:uid="{00000000-0005-0000-0000-00001F120000}"/>
    <cellStyle name="Normal 2 5 5 2 4 2" xfId="7351" xr:uid="{00000000-0005-0000-0000-000020120000}"/>
    <cellStyle name="Normal 2 5 5 2 4 3" xfId="9801" xr:uid="{00000000-0005-0000-0000-000021120000}"/>
    <cellStyle name="Normal 2 5 5 2 5" xfId="4903" xr:uid="{00000000-0005-0000-0000-000022120000}"/>
    <cellStyle name="Normal 2 5 5 2 6" xfId="8558" xr:uid="{00000000-0005-0000-0000-000023120000}"/>
    <cellStyle name="Normal 2 5 5 3" xfId="1347" xr:uid="{00000000-0005-0000-0000-000024120000}"/>
    <cellStyle name="Normal 2 5 5 3 2" xfId="2573" xr:uid="{00000000-0005-0000-0000-000025120000}"/>
    <cellStyle name="Normal 2 5 5 3 2 2" xfId="6433" xr:uid="{00000000-0005-0000-0000-000026120000}"/>
    <cellStyle name="Normal 2 5 5 3 2 3" xfId="11385" xr:uid="{00000000-0005-0000-0000-000027120000}"/>
    <cellStyle name="Normal 2 5 5 3 3" xfId="3801" xr:uid="{00000000-0005-0000-0000-000028120000}"/>
    <cellStyle name="Normal 2 5 5 3 3 2" xfId="7657" xr:uid="{00000000-0005-0000-0000-000029120000}"/>
    <cellStyle name="Normal 2 5 5 3 3 3" xfId="10143" xr:uid="{00000000-0005-0000-0000-00002A120000}"/>
    <cellStyle name="Normal 2 5 5 3 4" xfId="5209" xr:uid="{00000000-0005-0000-0000-00002B120000}"/>
    <cellStyle name="Normal 2 5 5 3 5" xfId="8901" xr:uid="{00000000-0005-0000-0000-00002C120000}"/>
    <cellStyle name="Normal 2 5 5 4" xfId="1961" xr:uid="{00000000-0005-0000-0000-00002D120000}"/>
    <cellStyle name="Normal 2 5 5 4 2" xfId="5821" xr:uid="{00000000-0005-0000-0000-00002E120000}"/>
    <cellStyle name="Normal 2 5 5 4 3" xfId="10755" xr:uid="{00000000-0005-0000-0000-00002F120000}"/>
    <cellStyle name="Normal 2 5 5 5" xfId="3188" xr:uid="{00000000-0005-0000-0000-000030120000}"/>
    <cellStyle name="Normal 2 5 5 5 2" xfId="7045" xr:uid="{00000000-0005-0000-0000-000031120000}"/>
    <cellStyle name="Normal 2 5 5 5 3" xfId="11961" xr:uid="{00000000-0005-0000-0000-000032120000}"/>
    <cellStyle name="Normal 2 5 5 6" xfId="4597" xr:uid="{00000000-0005-0000-0000-000033120000}"/>
    <cellStyle name="Normal 2 5 5 6 2" xfId="9513" xr:uid="{00000000-0005-0000-0000-000034120000}"/>
    <cellStyle name="Normal 2 5 5 7" xfId="8270" xr:uid="{00000000-0005-0000-0000-000035120000}"/>
    <cellStyle name="Normal 2 5 6" xfId="599" xr:uid="{00000000-0005-0000-0000-000036120000}"/>
    <cellStyle name="Normal 2 5 6 2" xfId="949" xr:uid="{00000000-0005-0000-0000-000037120000}"/>
    <cellStyle name="Normal 2 5 6 2 2" xfId="1563" xr:uid="{00000000-0005-0000-0000-000038120000}"/>
    <cellStyle name="Normal 2 5 6 2 2 2" xfId="2789" xr:uid="{00000000-0005-0000-0000-000039120000}"/>
    <cellStyle name="Normal 2 5 6 2 2 2 2" xfId="6649" xr:uid="{00000000-0005-0000-0000-00003A120000}"/>
    <cellStyle name="Normal 2 5 6 2 2 2 3" xfId="11601" xr:uid="{00000000-0005-0000-0000-00003B120000}"/>
    <cellStyle name="Normal 2 5 6 2 2 3" xfId="4017" xr:uid="{00000000-0005-0000-0000-00003C120000}"/>
    <cellStyle name="Normal 2 5 6 2 2 3 2" xfId="7873" xr:uid="{00000000-0005-0000-0000-00003D120000}"/>
    <cellStyle name="Normal 2 5 6 2 2 3 3" xfId="10359" xr:uid="{00000000-0005-0000-0000-00003E120000}"/>
    <cellStyle name="Normal 2 5 6 2 2 4" xfId="5425" xr:uid="{00000000-0005-0000-0000-00003F120000}"/>
    <cellStyle name="Normal 2 5 6 2 2 5" xfId="9117" xr:uid="{00000000-0005-0000-0000-000040120000}"/>
    <cellStyle name="Normal 2 5 6 2 3" xfId="2177" xr:uid="{00000000-0005-0000-0000-000041120000}"/>
    <cellStyle name="Normal 2 5 6 2 3 2" xfId="6037" xr:uid="{00000000-0005-0000-0000-000042120000}"/>
    <cellStyle name="Normal 2 5 6 2 3 3" xfId="10953" xr:uid="{00000000-0005-0000-0000-000043120000}"/>
    <cellStyle name="Normal 2 5 6 2 4" xfId="3405" xr:uid="{00000000-0005-0000-0000-000044120000}"/>
    <cellStyle name="Normal 2 5 6 2 4 2" xfId="7261" xr:uid="{00000000-0005-0000-0000-000045120000}"/>
    <cellStyle name="Normal 2 5 6 2 4 3" xfId="9711" xr:uid="{00000000-0005-0000-0000-000046120000}"/>
    <cellStyle name="Normal 2 5 6 2 5" xfId="4813" xr:uid="{00000000-0005-0000-0000-000047120000}"/>
    <cellStyle name="Normal 2 5 6 2 6" xfId="8468" xr:uid="{00000000-0005-0000-0000-000048120000}"/>
    <cellStyle name="Normal 2 5 6 3" xfId="1257" xr:uid="{00000000-0005-0000-0000-000049120000}"/>
    <cellStyle name="Normal 2 5 6 3 2" xfId="2483" xr:uid="{00000000-0005-0000-0000-00004A120000}"/>
    <cellStyle name="Normal 2 5 6 3 2 2" xfId="6343" xr:uid="{00000000-0005-0000-0000-00004B120000}"/>
    <cellStyle name="Normal 2 5 6 3 2 3" xfId="11295" xr:uid="{00000000-0005-0000-0000-00004C120000}"/>
    <cellStyle name="Normal 2 5 6 3 3" xfId="3711" xr:uid="{00000000-0005-0000-0000-00004D120000}"/>
    <cellStyle name="Normal 2 5 6 3 3 2" xfId="7567" xr:uid="{00000000-0005-0000-0000-00004E120000}"/>
    <cellStyle name="Normal 2 5 6 3 3 3" xfId="10053" xr:uid="{00000000-0005-0000-0000-00004F120000}"/>
    <cellStyle name="Normal 2 5 6 3 4" xfId="5119" xr:uid="{00000000-0005-0000-0000-000050120000}"/>
    <cellStyle name="Normal 2 5 6 3 5" xfId="8811" xr:uid="{00000000-0005-0000-0000-000051120000}"/>
    <cellStyle name="Normal 2 5 6 4" xfId="1871" xr:uid="{00000000-0005-0000-0000-000052120000}"/>
    <cellStyle name="Normal 2 5 6 4 2" xfId="5731" xr:uid="{00000000-0005-0000-0000-000053120000}"/>
    <cellStyle name="Normal 2 5 6 4 3" xfId="10665" xr:uid="{00000000-0005-0000-0000-000054120000}"/>
    <cellStyle name="Normal 2 5 6 5" xfId="3098" xr:uid="{00000000-0005-0000-0000-000055120000}"/>
    <cellStyle name="Normal 2 5 6 5 2" xfId="6955" xr:uid="{00000000-0005-0000-0000-000056120000}"/>
    <cellStyle name="Normal 2 5 6 5 3" xfId="11871" xr:uid="{00000000-0005-0000-0000-000057120000}"/>
    <cellStyle name="Normal 2 5 6 6" xfId="4507" xr:uid="{00000000-0005-0000-0000-000058120000}"/>
    <cellStyle name="Normal 2 5 6 6 2" xfId="9423" xr:uid="{00000000-0005-0000-0000-000059120000}"/>
    <cellStyle name="Normal 2 5 6 7" xfId="8180" xr:uid="{00000000-0005-0000-0000-00005A120000}"/>
    <cellStyle name="Normal 2 5 7" xfId="485" xr:uid="{00000000-0005-0000-0000-00005B120000}"/>
    <cellStyle name="Normal 2 5 7 2" xfId="835" xr:uid="{00000000-0005-0000-0000-00005C120000}"/>
    <cellStyle name="Normal 2 5 7 2 2" xfId="1473" xr:uid="{00000000-0005-0000-0000-00005D120000}"/>
    <cellStyle name="Normal 2 5 7 2 2 2" xfId="2699" xr:uid="{00000000-0005-0000-0000-00005E120000}"/>
    <cellStyle name="Normal 2 5 7 2 2 2 2" xfId="6559" xr:uid="{00000000-0005-0000-0000-00005F120000}"/>
    <cellStyle name="Normal 2 5 7 2 2 2 3" xfId="11511" xr:uid="{00000000-0005-0000-0000-000060120000}"/>
    <cellStyle name="Normal 2 5 7 2 2 3" xfId="3927" xr:uid="{00000000-0005-0000-0000-000061120000}"/>
    <cellStyle name="Normal 2 5 7 2 2 3 2" xfId="7783" xr:uid="{00000000-0005-0000-0000-000062120000}"/>
    <cellStyle name="Normal 2 5 7 2 2 3 3" xfId="10269" xr:uid="{00000000-0005-0000-0000-000063120000}"/>
    <cellStyle name="Normal 2 5 7 2 2 4" xfId="5335" xr:uid="{00000000-0005-0000-0000-000064120000}"/>
    <cellStyle name="Normal 2 5 7 2 2 5" xfId="9027" xr:uid="{00000000-0005-0000-0000-000065120000}"/>
    <cellStyle name="Normal 2 5 7 2 3" xfId="2087" xr:uid="{00000000-0005-0000-0000-000066120000}"/>
    <cellStyle name="Normal 2 5 7 2 3 2" xfId="5947" xr:uid="{00000000-0005-0000-0000-000067120000}"/>
    <cellStyle name="Normal 2 5 7 2 3 3" xfId="10863" xr:uid="{00000000-0005-0000-0000-000068120000}"/>
    <cellStyle name="Normal 2 5 7 2 4" xfId="3315" xr:uid="{00000000-0005-0000-0000-000069120000}"/>
    <cellStyle name="Normal 2 5 7 2 4 2" xfId="7171" xr:uid="{00000000-0005-0000-0000-00006A120000}"/>
    <cellStyle name="Normal 2 5 7 2 4 3" xfId="9621" xr:uid="{00000000-0005-0000-0000-00006B120000}"/>
    <cellStyle name="Normal 2 5 7 2 5" xfId="4723" xr:uid="{00000000-0005-0000-0000-00006C120000}"/>
    <cellStyle name="Normal 2 5 7 2 6" xfId="8378" xr:uid="{00000000-0005-0000-0000-00006D120000}"/>
    <cellStyle name="Normal 2 5 7 3" xfId="1167" xr:uid="{00000000-0005-0000-0000-00006E120000}"/>
    <cellStyle name="Normal 2 5 7 3 2" xfId="2393" xr:uid="{00000000-0005-0000-0000-00006F120000}"/>
    <cellStyle name="Normal 2 5 7 3 2 2" xfId="6253" xr:uid="{00000000-0005-0000-0000-000070120000}"/>
    <cellStyle name="Normal 2 5 7 3 2 3" xfId="11205" xr:uid="{00000000-0005-0000-0000-000071120000}"/>
    <cellStyle name="Normal 2 5 7 3 3" xfId="3621" xr:uid="{00000000-0005-0000-0000-000072120000}"/>
    <cellStyle name="Normal 2 5 7 3 3 2" xfId="7477" xr:uid="{00000000-0005-0000-0000-000073120000}"/>
    <cellStyle name="Normal 2 5 7 3 3 3" xfId="9963" xr:uid="{00000000-0005-0000-0000-000074120000}"/>
    <cellStyle name="Normal 2 5 7 3 4" xfId="5029" xr:uid="{00000000-0005-0000-0000-000075120000}"/>
    <cellStyle name="Normal 2 5 7 3 5" xfId="8721" xr:uid="{00000000-0005-0000-0000-000076120000}"/>
    <cellStyle name="Normal 2 5 7 4" xfId="1781" xr:uid="{00000000-0005-0000-0000-000077120000}"/>
    <cellStyle name="Normal 2 5 7 4 2" xfId="5641" xr:uid="{00000000-0005-0000-0000-000078120000}"/>
    <cellStyle name="Normal 2 5 7 4 3" xfId="10575" xr:uid="{00000000-0005-0000-0000-000079120000}"/>
    <cellStyle name="Normal 2 5 7 5" xfId="3008" xr:uid="{00000000-0005-0000-0000-00007A120000}"/>
    <cellStyle name="Normal 2 5 7 5 2" xfId="6865" xr:uid="{00000000-0005-0000-0000-00007B120000}"/>
    <cellStyle name="Normal 2 5 7 5 3" xfId="12051" xr:uid="{00000000-0005-0000-0000-00007C120000}"/>
    <cellStyle name="Normal 2 5 7 6" xfId="4417" xr:uid="{00000000-0005-0000-0000-00007D120000}"/>
    <cellStyle name="Normal 2 5 7 6 2" xfId="9333" xr:uid="{00000000-0005-0000-0000-00007E120000}"/>
    <cellStyle name="Normal 2 5 7 7" xfId="8090" xr:uid="{00000000-0005-0000-0000-00007F120000}"/>
    <cellStyle name="Normal 2 5 8" xfId="797" xr:uid="{00000000-0005-0000-0000-000080120000}"/>
    <cellStyle name="Normal 2 5 8 2" xfId="1437" xr:uid="{00000000-0005-0000-0000-000081120000}"/>
    <cellStyle name="Normal 2 5 8 2 2" xfId="2663" xr:uid="{00000000-0005-0000-0000-000082120000}"/>
    <cellStyle name="Normal 2 5 8 2 2 2" xfId="6523" xr:uid="{00000000-0005-0000-0000-000083120000}"/>
    <cellStyle name="Normal 2 5 8 2 2 3" xfId="11475" xr:uid="{00000000-0005-0000-0000-000084120000}"/>
    <cellStyle name="Normal 2 5 8 2 3" xfId="3891" xr:uid="{00000000-0005-0000-0000-000085120000}"/>
    <cellStyle name="Normal 2 5 8 2 3 2" xfId="7747" xr:uid="{00000000-0005-0000-0000-000086120000}"/>
    <cellStyle name="Normal 2 5 8 2 3 3" xfId="10233" xr:uid="{00000000-0005-0000-0000-000087120000}"/>
    <cellStyle name="Normal 2 5 8 2 4" xfId="5299" xr:uid="{00000000-0005-0000-0000-000088120000}"/>
    <cellStyle name="Normal 2 5 8 2 5" xfId="8991" xr:uid="{00000000-0005-0000-0000-000089120000}"/>
    <cellStyle name="Normal 2 5 8 3" xfId="2051" xr:uid="{00000000-0005-0000-0000-00008A120000}"/>
    <cellStyle name="Normal 2 5 8 3 2" xfId="5911" xr:uid="{00000000-0005-0000-0000-00008B120000}"/>
    <cellStyle name="Normal 2 5 8 3 3" xfId="10845" xr:uid="{00000000-0005-0000-0000-00008C120000}"/>
    <cellStyle name="Normal 2 5 8 4" xfId="3279" xr:uid="{00000000-0005-0000-0000-00008D120000}"/>
    <cellStyle name="Normal 2 5 8 4 2" xfId="7135" xr:uid="{00000000-0005-0000-0000-00008E120000}"/>
    <cellStyle name="Normal 2 5 8 4 3" xfId="9603" xr:uid="{00000000-0005-0000-0000-00008F120000}"/>
    <cellStyle name="Normal 2 5 8 5" xfId="4687" xr:uid="{00000000-0005-0000-0000-000090120000}"/>
    <cellStyle name="Normal 2 5 8 6" xfId="8360" xr:uid="{00000000-0005-0000-0000-000091120000}"/>
    <cellStyle name="Normal 2 5 9" xfId="1131" xr:uid="{00000000-0005-0000-0000-000092120000}"/>
    <cellStyle name="Normal 2 5 9 2" xfId="2357" xr:uid="{00000000-0005-0000-0000-000093120000}"/>
    <cellStyle name="Normal 2 5 9 2 2" xfId="6217" xr:uid="{00000000-0005-0000-0000-000094120000}"/>
    <cellStyle name="Normal 2 5 9 2 3" xfId="11169" xr:uid="{00000000-0005-0000-0000-000095120000}"/>
    <cellStyle name="Normal 2 5 9 3" xfId="3585" xr:uid="{00000000-0005-0000-0000-000096120000}"/>
    <cellStyle name="Normal 2 5 9 3 2" xfId="7441" xr:uid="{00000000-0005-0000-0000-000097120000}"/>
    <cellStyle name="Normal 2 5 9 3 3" xfId="9927" xr:uid="{00000000-0005-0000-0000-000098120000}"/>
    <cellStyle name="Normal 2 5 9 4" xfId="4993" xr:uid="{00000000-0005-0000-0000-000099120000}"/>
    <cellStyle name="Normal 2 5 9 5" xfId="8685" xr:uid="{00000000-0005-0000-0000-00009A120000}"/>
    <cellStyle name="Normal 2 50" xfId="190" xr:uid="{00000000-0005-0000-0000-00009B120000}"/>
    <cellStyle name="Normal 2 50 2" xfId="4272" xr:uid="{00000000-0005-0000-0000-00009C120000}"/>
    <cellStyle name="Normal 2 51" xfId="191" xr:uid="{00000000-0005-0000-0000-00009D120000}"/>
    <cellStyle name="Normal 2 51 2" xfId="4273" xr:uid="{00000000-0005-0000-0000-00009E120000}"/>
    <cellStyle name="Normal 2 52" xfId="192" xr:uid="{00000000-0005-0000-0000-00009F120000}"/>
    <cellStyle name="Normal 2 52 2" xfId="4274" xr:uid="{00000000-0005-0000-0000-0000A0120000}"/>
    <cellStyle name="Normal 2 53" xfId="193" xr:uid="{00000000-0005-0000-0000-0000A1120000}"/>
    <cellStyle name="Normal 2 53 2" xfId="4275" xr:uid="{00000000-0005-0000-0000-0000A2120000}"/>
    <cellStyle name="Normal 2 54" xfId="194" xr:uid="{00000000-0005-0000-0000-0000A3120000}"/>
    <cellStyle name="Normal 2 55" xfId="195" xr:uid="{00000000-0005-0000-0000-0000A4120000}"/>
    <cellStyle name="Normal 2 56" xfId="418" xr:uid="{00000000-0005-0000-0000-0000A5120000}"/>
    <cellStyle name="Normal 2 6" xfId="196" xr:uid="{00000000-0005-0000-0000-0000A6120000}"/>
    <cellStyle name="Normal 2 6 2" xfId="520" xr:uid="{00000000-0005-0000-0000-0000A7120000}"/>
    <cellStyle name="Normal 2 6 2 2" xfId="870" xr:uid="{00000000-0005-0000-0000-0000A8120000}"/>
    <cellStyle name="Normal 2 6 3" xfId="776" xr:uid="{00000000-0005-0000-0000-0000A9120000}"/>
    <cellStyle name="Normal 2 6 4" xfId="425" xr:uid="{00000000-0005-0000-0000-0000AA120000}"/>
    <cellStyle name="Normal 2 7" xfId="197" xr:uid="{00000000-0005-0000-0000-0000AB120000}"/>
    <cellStyle name="Normal 2 7 2" xfId="4276" xr:uid="{00000000-0005-0000-0000-0000AC120000}"/>
    <cellStyle name="Normal 2 8" xfId="198" xr:uid="{00000000-0005-0000-0000-0000AD120000}"/>
    <cellStyle name="Normal 2 8 2" xfId="4277" xr:uid="{00000000-0005-0000-0000-0000AE120000}"/>
    <cellStyle name="Normal 2 9" xfId="199" xr:uid="{00000000-0005-0000-0000-0000AF120000}"/>
    <cellStyle name="Normal 2 9 2" xfId="4278" xr:uid="{00000000-0005-0000-0000-0000B0120000}"/>
    <cellStyle name="Normal 20" xfId="200" xr:uid="{00000000-0005-0000-0000-0000B1120000}"/>
    <cellStyle name="Normal 20 2" xfId="201" xr:uid="{00000000-0005-0000-0000-0000B2120000}"/>
    <cellStyle name="Normal 20 3" xfId="202" xr:uid="{00000000-0005-0000-0000-0000B3120000}"/>
    <cellStyle name="Normal 20 4" xfId="4279" xr:uid="{00000000-0005-0000-0000-0000B4120000}"/>
    <cellStyle name="Normal 21" xfId="203" xr:uid="{00000000-0005-0000-0000-0000B5120000}"/>
    <cellStyle name="Normal 21 2" xfId="204" xr:uid="{00000000-0005-0000-0000-0000B6120000}"/>
    <cellStyle name="Normal 21 3" xfId="205" xr:uid="{00000000-0005-0000-0000-0000B7120000}"/>
    <cellStyle name="Normal 21 4" xfId="4280" xr:uid="{00000000-0005-0000-0000-0000B8120000}"/>
    <cellStyle name="Normal 22" xfId="206" xr:uid="{00000000-0005-0000-0000-0000B9120000}"/>
    <cellStyle name="Normal 22 2" xfId="207" xr:uid="{00000000-0005-0000-0000-0000BA120000}"/>
    <cellStyle name="Normal 22 3" xfId="208" xr:uid="{00000000-0005-0000-0000-0000BB120000}"/>
    <cellStyle name="Normal 22 4" xfId="4281" xr:uid="{00000000-0005-0000-0000-0000BC120000}"/>
    <cellStyle name="Normal 23" xfId="209" xr:uid="{00000000-0005-0000-0000-0000BD120000}"/>
    <cellStyle name="Normal 23 2" xfId="210" xr:uid="{00000000-0005-0000-0000-0000BE120000}"/>
    <cellStyle name="Normal 23 3" xfId="211" xr:uid="{00000000-0005-0000-0000-0000BF120000}"/>
    <cellStyle name="Normal 23 4" xfId="4282" xr:uid="{00000000-0005-0000-0000-0000C0120000}"/>
    <cellStyle name="Normal 24" xfId="212" xr:uid="{00000000-0005-0000-0000-0000C1120000}"/>
    <cellStyle name="Normal 24 2" xfId="213" xr:uid="{00000000-0005-0000-0000-0000C2120000}"/>
    <cellStyle name="Normal 24 3" xfId="214" xr:uid="{00000000-0005-0000-0000-0000C3120000}"/>
    <cellStyle name="Normal 24 4" xfId="4283" xr:uid="{00000000-0005-0000-0000-0000C4120000}"/>
    <cellStyle name="Normal 25" xfId="215" xr:uid="{00000000-0005-0000-0000-0000C5120000}"/>
    <cellStyle name="Normal 25 2" xfId="216" xr:uid="{00000000-0005-0000-0000-0000C6120000}"/>
    <cellStyle name="Normal 25 3" xfId="217" xr:uid="{00000000-0005-0000-0000-0000C7120000}"/>
    <cellStyle name="Normal 25 4" xfId="4284" xr:uid="{00000000-0005-0000-0000-0000C8120000}"/>
    <cellStyle name="Normal 26" xfId="218" xr:uid="{00000000-0005-0000-0000-0000C9120000}"/>
    <cellStyle name="Normal 26 2" xfId="219" xr:uid="{00000000-0005-0000-0000-0000CA120000}"/>
    <cellStyle name="Normal 26 3" xfId="220" xr:uid="{00000000-0005-0000-0000-0000CB120000}"/>
    <cellStyle name="Normal 26 4" xfId="4285" xr:uid="{00000000-0005-0000-0000-0000CC120000}"/>
    <cellStyle name="Normal 27" xfId="221" xr:uid="{00000000-0005-0000-0000-0000CD120000}"/>
    <cellStyle name="Normal 27 2" xfId="222" xr:uid="{00000000-0005-0000-0000-0000CE120000}"/>
    <cellStyle name="Normal 27 3" xfId="223" xr:uid="{00000000-0005-0000-0000-0000CF120000}"/>
    <cellStyle name="Normal 27 4" xfId="4286" xr:uid="{00000000-0005-0000-0000-0000D0120000}"/>
    <cellStyle name="Normal 28" xfId="224" xr:uid="{00000000-0005-0000-0000-0000D1120000}"/>
    <cellStyle name="Normal 28 2" xfId="225" xr:uid="{00000000-0005-0000-0000-0000D2120000}"/>
    <cellStyle name="Normal 28 3" xfId="226" xr:uid="{00000000-0005-0000-0000-0000D3120000}"/>
    <cellStyle name="Normal 28 4" xfId="4287" xr:uid="{00000000-0005-0000-0000-0000D4120000}"/>
    <cellStyle name="Normal 29" xfId="227" xr:uid="{00000000-0005-0000-0000-0000D5120000}"/>
    <cellStyle name="Normal 29 2" xfId="228" xr:uid="{00000000-0005-0000-0000-0000D6120000}"/>
    <cellStyle name="Normal 3" xfId="229" xr:uid="{00000000-0005-0000-0000-0000D7120000}"/>
    <cellStyle name="Normal 3 2" xfId="230" xr:uid="{00000000-0005-0000-0000-0000D8120000}"/>
    <cellStyle name="Normal 3 2 2" xfId="231" xr:uid="{00000000-0005-0000-0000-0000D9120000}"/>
    <cellStyle name="Normal 3 2 2 2" xfId="868" xr:uid="{00000000-0005-0000-0000-0000DA120000}"/>
    <cellStyle name="Normal 3 2 3" xfId="232" xr:uid="{00000000-0005-0000-0000-0000DB120000}"/>
    <cellStyle name="Normal 3 2 4" xfId="518" xr:uid="{00000000-0005-0000-0000-0000DC120000}"/>
    <cellStyle name="Normal 3 3" xfId="233" xr:uid="{00000000-0005-0000-0000-0000DD120000}"/>
    <cellStyle name="Normal 3 3 2" xfId="774" xr:uid="{00000000-0005-0000-0000-0000DE120000}"/>
    <cellStyle name="Normal 3 4" xfId="234" xr:uid="{00000000-0005-0000-0000-0000DF120000}"/>
    <cellStyle name="Normal 3 5" xfId="423" xr:uid="{00000000-0005-0000-0000-0000E0120000}"/>
    <cellStyle name="Normal 30" xfId="235" xr:uid="{00000000-0005-0000-0000-0000E1120000}"/>
    <cellStyle name="Normal 30 2" xfId="236" xr:uid="{00000000-0005-0000-0000-0000E2120000}"/>
    <cellStyle name="Normal 31" xfId="237" xr:uid="{00000000-0005-0000-0000-0000E3120000}"/>
    <cellStyle name="Normal 31 10" xfId="486" xr:uid="{00000000-0005-0000-0000-0000E4120000}"/>
    <cellStyle name="Normal 31 10 2" xfId="836" xr:uid="{00000000-0005-0000-0000-0000E5120000}"/>
    <cellStyle name="Normal 31 10 2 2" xfId="1474" xr:uid="{00000000-0005-0000-0000-0000E6120000}"/>
    <cellStyle name="Normal 31 10 2 2 2" xfId="2700" xr:uid="{00000000-0005-0000-0000-0000E7120000}"/>
    <cellStyle name="Normal 31 10 2 2 2 2" xfId="6560" xr:uid="{00000000-0005-0000-0000-0000E8120000}"/>
    <cellStyle name="Normal 31 10 2 2 2 3" xfId="11512" xr:uid="{00000000-0005-0000-0000-0000E9120000}"/>
    <cellStyle name="Normal 31 10 2 2 3" xfId="3928" xr:uid="{00000000-0005-0000-0000-0000EA120000}"/>
    <cellStyle name="Normal 31 10 2 2 3 2" xfId="7784" xr:uid="{00000000-0005-0000-0000-0000EB120000}"/>
    <cellStyle name="Normal 31 10 2 2 3 3" xfId="10270" xr:uid="{00000000-0005-0000-0000-0000EC120000}"/>
    <cellStyle name="Normal 31 10 2 2 4" xfId="5336" xr:uid="{00000000-0005-0000-0000-0000ED120000}"/>
    <cellStyle name="Normal 31 10 2 2 5" xfId="9028" xr:uid="{00000000-0005-0000-0000-0000EE120000}"/>
    <cellStyle name="Normal 31 10 2 3" xfId="2088" xr:uid="{00000000-0005-0000-0000-0000EF120000}"/>
    <cellStyle name="Normal 31 10 2 3 2" xfId="5948" xr:uid="{00000000-0005-0000-0000-0000F0120000}"/>
    <cellStyle name="Normal 31 10 2 3 3" xfId="10864" xr:uid="{00000000-0005-0000-0000-0000F1120000}"/>
    <cellStyle name="Normal 31 10 2 4" xfId="3316" xr:uid="{00000000-0005-0000-0000-0000F2120000}"/>
    <cellStyle name="Normal 31 10 2 4 2" xfId="7172" xr:uid="{00000000-0005-0000-0000-0000F3120000}"/>
    <cellStyle name="Normal 31 10 2 4 3" xfId="9622" xr:uid="{00000000-0005-0000-0000-0000F4120000}"/>
    <cellStyle name="Normal 31 10 2 5" xfId="4724" xr:uid="{00000000-0005-0000-0000-0000F5120000}"/>
    <cellStyle name="Normal 31 10 2 6" xfId="8379" xr:uid="{00000000-0005-0000-0000-0000F6120000}"/>
    <cellStyle name="Normal 31 10 3" xfId="1168" xr:uid="{00000000-0005-0000-0000-0000F7120000}"/>
    <cellStyle name="Normal 31 10 3 2" xfId="2394" xr:uid="{00000000-0005-0000-0000-0000F8120000}"/>
    <cellStyle name="Normal 31 10 3 2 2" xfId="6254" xr:uid="{00000000-0005-0000-0000-0000F9120000}"/>
    <cellStyle name="Normal 31 10 3 2 3" xfId="11206" xr:uid="{00000000-0005-0000-0000-0000FA120000}"/>
    <cellStyle name="Normal 31 10 3 3" xfId="3622" xr:uid="{00000000-0005-0000-0000-0000FB120000}"/>
    <cellStyle name="Normal 31 10 3 3 2" xfId="7478" xr:uid="{00000000-0005-0000-0000-0000FC120000}"/>
    <cellStyle name="Normal 31 10 3 3 3" xfId="9964" xr:uid="{00000000-0005-0000-0000-0000FD120000}"/>
    <cellStyle name="Normal 31 10 3 4" xfId="5030" xr:uid="{00000000-0005-0000-0000-0000FE120000}"/>
    <cellStyle name="Normal 31 10 3 5" xfId="8722" xr:uid="{00000000-0005-0000-0000-0000FF120000}"/>
    <cellStyle name="Normal 31 10 4" xfId="1782" xr:uid="{00000000-0005-0000-0000-000000130000}"/>
    <cellStyle name="Normal 31 10 4 2" xfId="5642" xr:uid="{00000000-0005-0000-0000-000001130000}"/>
    <cellStyle name="Normal 31 10 4 3" xfId="10576" xr:uid="{00000000-0005-0000-0000-000002130000}"/>
    <cellStyle name="Normal 31 10 5" xfId="3009" xr:uid="{00000000-0005-0000-0000-000003130000}"/>
    <cellStyle name="Normal 31 10 5 2" xfId="6866" xr:uid="{00000000-0005-0000-0000-000004130000}"/>
    <cellStyle name="Normal 31 10 5 3" xfId="12052" xr:uid="{00000000-0005-0000-0000-000005130000}"/>
    <cellStyle name="Normal 31 10 6" xfId="4418" xr:uid="{00000000-0005-0000-0000-000006130000}"/>
    <cellStyle name="Normal 31 10 6 2" xfId="9334" xr:uid="{00000000-0005-0000-0000-000007130000}"/>
    <cellStyle name="Normal 31 10 7" xfId="8091" xr:uid="{00000000-0005-0000-0000-000008130000}"/>
    <cellStyle name="Normal 31 11" xfId="798" xr:uid="{00000000-0005-0000-0000-000009130000}"/>
    <cellStyle name="Normal 31 11 2" xfId="1438" xr:uid="{00000000-0005-0000-0000-00000A130000}"/>
    <cellStyle name="Normal 31 11 2 2" xfId="2664" xr:uid="{00000000-0005-0000-0000-00000B130000}"/>
    <cellStyle name="Normal 31 11 2 2 2" xfId="6524" xr:uid="{00000000-0005-0000-0000-00000C130000}"/>
    <cellStyle name="Normal 31 11 2 2 3" xfId="11476" xr:uid="{00000000-0005-0000-0000-00000D130000}"/>
    <cellStyle name="Normal 31 11 2 3" xfId="3892" xr:uid="{00000000-0005-0000-0000-00000E130000}"/>
    <cellStyle name="Normal 31 11 2 3 2" xfId="7748" xr:uid="{00000000-0005-0000-0000-00000F130000}"/>
    <cellStyle name="Normal 31 11 2 3 3" xfId="10234" xr:uid="{00000000-0005-0000-0000-000010130000}"/>
    <cellStyle name="Normal 31 11 2 4" xfId="5300" xr:uid="{00000000-0005-0000-0000-000011130000}"/>
    <cellStyle name="Normal 31 11 2 5" xfId="8992" xr:uid="{00000000-0005-0000-0000-000012130000}"/>
    <cellStyle name="Normal 31 11 3" xfId="2052" xr:uid="{00000000-0005-0000-0000-000013130000}"/>
    <cellStyle name="Normal 31 11 3 2" xfId="5912" xr:uid="{00000000-0005-0000-0000-000014130000}"/>
    <cellStyle name="Normal 31 11 3 3" xfId="10846" xr:uid="{00000000-0005-0000-0000-000015130000}"/>
    <cellStyle name="Normal 31 11 4" xfId="3280" xr:uid="{00000000-0005-0000-0000-000016130000}"/>
    <cellStyle name="Normal 31 11 4 2" xfId="7136" xr:uid="{00000000-0005-0000-0000-000017130000}"/>
    <cellStyle name="Normal 31 11 4 3" xfId="9604" xr:uid="{00000000-0005-0000-0000-000018130000}"/>
    <cellStyle name="Normal 31 11 5" xfId="4688" xr:uid="{00000000-0005-0000-0000-000019130000}"/>
    <cellStyle name="Normal 31 11 6" xfId="8361" xr:uid="{00000000-0005-0000-0000-00001A130000}"/>
    <cellStyle name="Normal 31 12" xfId="1132" xr:uid="{00000000-0005-0000-0000-00001B130000}"/>
    <cellStyle name="Normal 31 12 2" xfId="2358" xr:uid="{00000000-0005-0000-0000-00001C130000}"/>
    <cellStyle name="Normal 31 12 2 2" xfId="6218" xr:uid="{00000000-0005-0000-0000-00001D130000}"/>
    <cellStyle name="Normal 31 12 2 3" xfId="11170" xr:uid="{00000000-0005-0000-0000-00001E130000}"/>
    <cellStyle name="Normal 31 12 3" xfId="3586" xr:uid="{00000000-0005-0000-0000-00001F130000}"/>
    <cellStyle name="Normal 31 12 3 2" xfId="7442" xr:uid="{00000000-0005-0000-0000-000020130000}"/>
    <cellStyle name="Normal 31 12 3 3" xfId="9928" xr:uid="{00000000-0005-0000-0000-000021130000}"/>
    <cellStyle name="Normal 31 12 4" xfId="4994" xr:uid="{00000000-0005-0000-0000-000022130000}"/>
    <cellStyle name="Normal 31 12 5" xfId="8686" xr:uid="{00000000-0005-0000-0000-000023130000}"/>
    <cellStyle name="Normal 31 13" xfId="447" xr:uid="{00000000-0005-0000-0000-000024130000}"/>
    <cellStyle name="Normal 31 13 2" xfId="4382" xr:uid="{00000000-0005-0000-0000-000025130000}"/>
    <cellStyle name="Normal 31 13 3" xfId="10540" xr:uid="{00000000-0005-0000-0000-000026130000}"/>
    <cellStyle name="Normal 31 14" xfId="1746" xr:uid="{00000000-0005-0000-0000-000027130000}"/>
    <cellStyle name="Normal 31 14 2" xfId="5606" xr:uid="{00000000-0005-0000-0000-000028130000}"/>
    <cellStyle name="Normal 31 14 3" xfId="11782" xr:uid="{00000000-0005-0000-0000-000029130000}"/>
    <cellStyle name="Normal 31 15" xfId="2973" xr:uid="{00000000-0005-0000-0000-00002A130000}"/>
    <cellStyle name="Normal 31 15 2" xfId="6830" xr:uid="{00000000-0005-0000-0000-00002B130000}"/>
    <cellStyle name="Normal 31 15 3" xfId="9298" xr:uid="{00000000-0005-0000-0000-00002C130000}"/>
    <cellStyle name="Normal 31 16" xfId="8055" xr:uid="{00000000-0005-0000-0000-00002D130000}"/>
    <cellStyle name="Normal 31 2" xfId="238" xr:uid="{00000000-0005-0000-0000-00002E130000}"/>
    <cellStyle name="Normal 31 2 10" xfId="799" xr:uid="{00000000-0005-0000-0000-00002F130000}"/>
    <cellStyle name="Normal 31 2 10 2" xfId="1439" xr:uid="{00000000-0005-0000-0000-000030130000}"/>
    <cellStyle name="Normal 31 2 10 2 2" xfId="2665" xr:uid="{00000000-0005-0000-0000-000031130000}"/>
    <cellStyle name="Normal 31 2 10 2 2 2" xfId="6525" xr:uid="{00000000-0005-0000-0000-000032130000}"/>
    <cellStyle name="Normal 31 2 10 2 2 3" xfId="11477" xr:uid="{00000000-0005-0000-0000-000033130000}"/>
    <cellStyle name="Normal 31 2 10 2 3" xfId="3893" xr:uid="{00000000-0005-0000-0000-000034130000}"/>
    <cellStyle name="Normal 31 2 10 2 3 2" xfId="7749" xr:uid="{00000000-0005-0000-0000-000035130000}"/>
    <cellStyle name="Normal 31 2 10 2 3 3" xfId="10235" xr:uid="{00000000-0005-0000-0000-000036130000}"/>
    <cellStyle name="Normal 31 2 10 2 4" xfId="5301" xr:uid="{00000000-0005-0000-0000-000037130000}"/>
    <cellStyle name="Normal 31 2 10 2 5" xfId="8993" xr:uid="{00000000-0005-0000-0000-000038130000}"/>
    <cellStyle name="Normal 31 2 10 3" xfId="2053" xr:uid="{00000000-0005-0000-0000-000039130000}"/>
    <cellStyle name="Normal 31 2 10 3 2" xfId="5913" xr:uid="{00000000-0005-0000-0000-00003A130000}"/>
    <cellStyle name="Normal 31 2 10 3 3" xfId="10847" xr:uid="{00000000-0005-0000-0000-00003B130000}"/>
    <cellStyle name="Normal 31 2 10 4" xfId="3281" xr:uid="{00000000-0005-0000-0000-00003C130000}"/>
    <cellStyle name="Normal 31 2 10 4 2" xfId="7137" xr:uid="{00000000-0005-0000-0000-00003D130000}"/>
    <cellStyle name="Normal 31 2 10 4 3" xfId="9605" xr:uid="{00000000-0005-0000-0000-00003E130000}"/>
    <cellStyle name="Normal 31 2 10 5" xfId="4689" xr:uid="{00000000-0005-0000-0000-00003F130000}"/>
    <cellStyle name="Normal 31 2 10 6" xfId="8362" xr:uid="{00000000-0005-0000-0000-000040130000}"/>
    <cellStyle name="Normal 31 2 11" xfId="1133" xr:uid="{00000000-0005-0000-0000-000041130000}"/>
    <cellStyle name="Normal 31 2 11 2" xfId="2359" xr:uid="{00000000-0005-0000-0000-000042130000}"/>
    <cellStyle name="Normal 31 2 11 2 2" xfId="6219" xr:uid="{00000000-0005-0000-0000-000043130000}"/>
    <cellStyle name="Normal 31 2 11 2 3" xfId="11171" xr:uid="{00000000-0005-0000-0000-000044130000}"/>
    <cellStyle name="Normal 31 2 11 3" xfId="3587" xr:uid="{00000000-0005-0000-0000-000045130000}"/>
    <cellStyle name="Normal 31 2 11 3 2" xfId="7443" xr:uid="{00000000-0005-0000-0000-000046130000}"/>
    <cellStyle name="Normal 31 2 11 3 3" xfId="9929" xr:uid="{00000000-0005-0000-0000-000047130000}"/>
    <cellStyle name="Normal 31 2 11 4" xfId="4995" xr:uid="{00000000-0005-0000-0000-000048130000}"/>
    <cellStyle name="Normal 31 2 11 5" xfId="8687" xr:uid="{00000000-0005-0000-0000-000049130000}"/>
    <cellStyle name="Normal 31 2 12" xfId="448" xr:uid="{00000000-0005-0000-0000-00004A130000}"/>
    <cellStyle name="Normal 31 2 12 2" xfId="4383" xr:uid="{00000000-0005-0000-0000-00004B130000}"/>
    <cellStyle name="Normal 31 2 12 3" xfId="10541" xr:uid="{00000000-0005-0000-0000-00004C130000}"/>
    <cellStyle name="Normal 31 2 13" xfId="1747" xr:uid="{00000000-0005-0000-0000-00004D130000}"/>
    <cellStyle name="Normal 31 2 13 2" xfId="5607" xr:uid="{00000000-0005-0000-0000-00004E130000}"/>
    <cellStyle name="Normal 31 2 13 3" xfId="11783" xr:uid="{00000000-0005-0000-0000-00004F130000}"/>
    <cellStyle name="Normal 31 2 14" xfId="2974" xr:uid="{00000000-0005-0000-0000-000050130000}"/>
    <cellStyle name="Normal 31 2 14 2" xfId="6831" xr:uid="{00000000-0005-0000-0000-000051130000}"/>
    <cellStyle name="Normal 31 2 14 3" xfId="9299" xr:uid="{00000000-0005-0000-0000-000052130000}"/>
    <cellStyle name="Normal 31 2 15" xfId="8056" xr:uid="{00000000-0005-0000-0000-000053130000}"/>
    <cellStyle name="Normal 31 2 2" xfId="449" xr:uid="{00000000-0005-0000-0000-000054130000}"/>
    <cellStyle name="Normal 31 2 2 10" xfId="1134" xr:uid="{00000000-0005-0000-0000-000055130000}"/>
    <cellStyle name="Normal 31 2 2 10 2" xfId="2360" xr:uid="{00000000-0005-0000-0000-000056130000}"/>
    <cellStyle name="Normal 31 2 2 10 2 2" xfId="6220" xr:uid="{00000000-0005-0000-0000-000057130000}"/>
    <cellStyle name="Normal 31 2 2 10 2 3" xfId="11172" xr:uid="{00000000-0005-0000-0000-000058130000}"/>
    <cellStyle name="Normal 31 2 2 10 3" xfId="3588" xr:uid="{00000000-0005-0000-0000-000059130000}"/>
    <cellStyle name="Normal 31 2 2 10 3 2" xfId="7444" xr:uid="{00000000-0005-0000-0000-00005A130000}"/>
    <cellStyle name="Normal 31 2 2 10 3 3" xfId="9930" xr:uid="{00000000-0005-0000-0000-00005B130000}"/>
    <cellStyle name="Normal 31 2 2 10 4" xfId="4996" xr:uid="{00000000-0005-0000-0000-00005C130000}"/>
    <cellStyle name="Normal 31 2 2 10 5" xfId="8688" xr:uid="{00000000-0005-0000-0000-00005D130000}"/>
    <cellStyle name="Normal 31 2 2 11" xfId="1748" xr:uid="{00000000-0005-0000-0000-00005E130000}"/>
    <cellStyle name="Normal 31 2 2 11 2" xfId="5608" xr:uid="{00000000-0005-0000-0000-00005F130000}"/>
    <cellStyle name="Normal 31 2 2 11 3" xfId="10542" xr:uid="{00000000-0005-0000-0000-000060130000}"/>
    <cellStyle name="Normal 31 2 2 12" xfId="2975" xr:uid="{00000000-0005-0000-0000-000061130000}"/>
    <cellStyle name="Normal 31 2 2 12 2" xfId="6832" xr:uid="{00000000-0005-0000-0000-000062130000}"/>
    <cellStyle name="Normal 31 2 2 12 3" xfId="11784" xr:uid="{00000000-0005-0000-0000-000063130000}"/>
    <cellStyle name="Normal 31 2 2 13" xfId="4384" xr:uid="{00000000-0005-0000-0000-000064130000}"/>
    <cellStyle name="Normal 31 2 2 13 2" xfId="9300" xr:uid="{00000000-0005-0000-0000-000065130000}"/>
    <cellStyle name="Normal 31 2 2 14" xfId="8057" xr:uid="{00000000-0005-0000-0000-000066130000}"/>
    <cellStyle name="Normal 31 2 2 2" xfId="450" xr:uid="{00000000-0005-0000-0000-000067130000}"/>
    <cellStyle name="Normal 31 2 2 2 10" xfId="1749" xr:uid="{00000000-0005-0000-0000-000068130000}"/>
    <cellStyle name="Normal 31 2 2 2 10 2" xfId="5609" xr:uid="{00000000-0005-0000-0000-000069130000}"/>
    <cellStyle name="Normal 31 2 2 2 10 3" xfId="10543" xr:uid="{00000000-0005-0000-0000-00006A130000}"/>
    <cellStyle name="Normal 31 2 2 2 11" xfId="2976" xr:uid="{00000000-0005-0000-0000-00006B130000}"/>
    <cellStyle name="Normal 31 2 2 2 11 2" xfId="6833" xr:uid="{00000000-0005-0000-0000-00006C130000}"/>
    <cellStyle name="Normal 31 2 2 2 11 3" xfId="11785" xr:uid="{00000000-0005-0000-0000-00006D130000}"/>
    <cellStyle name="Normal 31 2 2 2 12" xfId="4385" xr:uid="{00000000-0005-0000-0000-00006E130000}"/>
    <cellStyle name="Normal 31 2 2 2 12 2" xfId="9301" xr:uid="{00000000-0005-0000-0000-00006F130000}"/>
    <cellStyle name="Normal 31 2 2 2 13" xfId="8058" xr:uid="{00000000-0005-0000-0000-000070130000}"/>
    <cellStyle name="Normal 31 2 2 2 2" xfId="471" xr:uid="{00000000-0005-0000-0000-000071130000}"/>
    <cellStyle name="Normal 31 2 2 2 2 10" xfId="4403" xr:uid="{00000000-0005-0000-0000-000072130000}"/>
    <cellStyle name="Normal 31 2 2 2 2 10 2" xfId="9319" xr:uid="{00000000-0005-0000-0000-000073130000}"/>
    <cellStyle name="Normal 31 2 2 2 2 11" xfId="8076" xr:uid="{00000000-0005-0000-0000-000074130000}"/>
    <cellStyle name="Normal 31 2 2 2 2 2" xfId="584" xr:uid="{00000000-0005-0000-0000-000075130000}"/>
    <cellStyle name="Normal 31 2 2 2 2 2 2" xfId="765" xr:uid="{00000000-0005-0000-0000-000076130000}"/>
    <cellStyle name="Normal 31 2 2 2 2 2 2 2" xfId="1115" xr:uid="{00000000-0005-0000-0000-000077130000}"/>
    <cellStyle name="Normal 31 2 2 2 2 2 2 2 2" xfId="1729" xr:uid="{00000000-0005-0000-0000-000078130000}"/>
    <cellStyle name="Normal 31 2 2 2 2 2 2 2 2 2" xfId="2955" xr:uid="{00000000-0005-0000-0000-000079130000}"/>
    <cellStyle name="Normal 31 2 2 2 2 2 2 2 2 2 2" xfId="6815" xr:uid="{00000000-0005-0000-0000-00007A130000}"/>
    <cellStyle name="Normal 31 2 2 2 2 2 2 2 2 2 3" xfId="11767" xr:uid="{00000000-0005-0000-0000-00007B130000}"/>
    <cellStyle name="Normal 31 2 2 2 2 2 2 2 2 3" xfId="4183" xr:uid="{00000000-0005-0000-0000-00007C130000}"/>
    <cellStyle name="Normal 31 2 2 2 2 2 2 2 2 3 2" xfId="8039" xr:uid="{00000000-0005-0000-0000-00007D130000}"/>
    <cellStyle name="Normal 31 2 2 2 2 2 2 2 2 3 3" xfId="10525" xr:uid="{00000000-0005-0000-0000-00007E130000}"/>
    <cellStyle name="Normal 31 2 2 2 2 2 2 2 2 4" xfId="5591" xr:uid="{00000000-0005-0000-0000-00007F130000}"/>
    <cellStyle name="Normal 31 2 2 2 2 2 2 2 2 5" xfId="9283" xr:uid="{00000000-0005-0000-0000-000080130000}"/>
    <cellStyle name="Normal 31 2 2 2 2 2 2 2 3" xfId="2343" xr:uid="{00000000-0005-0000-0000-000081130000}"/>
    <cellStyle name="Normal 31 2 2 2 2 2 2 2 3 2" xfId="6203" xr:uid="{00000000-0005-0000-0000-000082130000}"/>
    <cellStyle name="Normal 31 2 2 2 2 2 2 2 3 3" xfId="11119" xr:uid="{00000000-0005-0000-0000-000083130000}"/>
    <cellStyle name="Normal 31 2 2 2 2 2 2 2 4" xfId="3571" xr:uid="{00000000-0005-0000-0000-000084130000}"/>
    <cellStyle name="Normal 31 2 2 2 2 2 2 2 4 2" xfId="7427" xr:uid="{00000000-0005-0000-0000-000085130000}"/>
    <cellStyle name="Normal 31 2 2 2 2 2 2 2 4 3" xfId="9877" xr:uid="{00000000-0005-0000-0000-000086130000}"/>
    <cellStyle name="Normal 31 2 2 2 2 2 2 2 5" xfId="4979" xr:uid="{00000000-0005-0000-0000-000087130000}"/>
    <cellStyle name="Normal 31 2 2 2 2 2 2 2 6" xfId="8634" xr:uid="{00000000-0005-0000-0000-000088130000}"/>
    <cellStyle name="Normal 31 2 2 2 2 2 2 3" xfId="1423" xr:uid="{00000000-0005-0000-0000-000089130000}"/>
    <cellStyle name="Normal 31 2 2 2 2 2 2 3 2" xfId="2649" xr:uid="{00000000-0005-0000-0000-00008A130000}"/>
    <cellStyle name="Normal 31 2 2 2 2 2 2 3 2 2" xfId="6509" xr:uid="{00000000-0005-0000-0000-00008B130000}"/>
    <cellStyle name="Normal 31 2 2 2 2 2 2 3 2 3" xfId="11461" xr:uid="{00000000-0005-0000-0000-00008C130000}"/>
    <cellStyle name="Normal 31 2 2 2 2 2 2 3 3" xfId="3877" xr:uid="{00000000-0005-0000-0000-00008D130000}"/>
    <cellStyle name="Normal 31 2 2 2 2 2 2 3 3 2" xfId="7733" xr:uid="{00000000-0005-0000-0000-00008E130000}"/>
    <cellStyle name="Normal 31 2 2 2 2 2 2 3 3 3" xfId="10219" xr:uid="{00000000-0005-0000-0000-00008F130000}"/>
    <cellStyle name="Normal 31 2 2 2 2 2 2 3 4" xfId="5285" xr:uid="{00000000-0005-0000-0000-000090130000}"/>
    <cellStyle name="Normal 31 2 2 2 2 2 2 3 5" xfId="8977" xr:uid="{00000000-0005-0000-0000-000091130000}"/>
    <cellStyle name="Normal 31 2 2 2 2 2 2 4" xfId="2037" xr:uid="{00000000-0005-0000-0000-000092130000}"/>
    <cellStyle name="Normal 31 2 2 2 2 2 2 4 2" xfId="5897" xr:uid="{00000000-0005-0000-0000-000093130000}"/>
    <cellStyle name="Normal 31 2 2 2 2 2 2 4 3" xfId="10831" xr:uid="{00000000-0005-0000-0000-000094130000}"/>
    <cellStyle name="Normal 31 2 2 2 2 2 2 5" xfId="3264" xr:uid="{00000000-0005-0000-0000-000095130000}"/>
    <cellStyle name="Normal 31 2 2 2 2 2 2 5 2" xfId="7121" xr:uid="{00000000-0005-0000-0000-000096130000}"/>
    <cellStyle name="Normal 31 2 2 2 2 2 2 5 3" xfId="12037" xr:uid="{00000000-0005-0000-0000-000097130000}"/>
    <cellStyle name="Normal 31 2 2 2 2 2 2 6" xfId="4673" xr:uid="{00000000-0005-0000-0000-000098130000}"/>
    <cellStyle name="Normal 31 2 2 2 2 2 2 6 2" xfId="9589" xr:uid="{00000000-0005-0000-0000-000099130000}"/>
    <cellStyle name="Normal 31 2 2 2 2 2 2 7" xfId="8346" xr:uid="{00000000-0005-0000-0000-00009A130000}"/>
    <cellStyle name="Normal 31 2 2 2 2 2 3" xfId="675" xr:uid="{00000000-0005-0000-0000-00009B130000}"/>
    <cellStyle name="Normal 31 2 2 2 2 2 3 2" xfId="1025" xr:uid="{00000000-0005-0000-0000-00009C130000}"/>
    <cellStyle name="Normal 31 2 2 2 2 2 3 2 2" xfId="1639" xr:uid="{00000000-0005-0000-0000-00009D130000}"/>
    <cellStyle name="Normal 31 2 2 2 2 2 3 2 2 2" xfId="2865" xr:uid="{00000000-0005-0000-0000-00009E130000}"/>
    <cellStyle name="Normal 31 2 2 2 2 2 3 2 2 2 2" xfId="6725" xr:uid="{00000000-0005-0000-0000-00009F130000}"/>
    <cellStyle name="Normal 31 2 2 2 2 2 3 2 2 2 3" xfId="11677" xr:uid="{00000000-0005-0000-0000-0000A0130000}"/>
    <cellStyle name="Normal 31 2 2 2 2 2 3 2 2 3" xfId="4093" xr:uid="{00000000-0005-0000-0000-0000A1130000}"/>
    <cellStyle name="Normal 31 2 2 2 2 2 3 2 2 3 2" xfId="7949" xr:uid="{00000000-0005-0000-0000-0000A2130000}"/>
    <cellStyle name="Normal 31 2 2 2 2 2 3 2 2 3 3" xfId="10435" xr:uid="{00000000-0005-0000-0000-0000A3130000}"/>
    <cellStyle name="Normal 31 2 2 2 2 2 3 2 2 4" xfId="5501" xr:uid="{00000000-0005-0000-0000-0000A4130000}"/>
    <cellStyle name="Normal 31 2 2 2 2 2 3 2 2 5" xfId="9193" xr:uid="{00000000-0005-0000-0000-0000A5130000}"/>
    <cellStyle name="Normal 31 2 2 2 2 2 3 2 3" xfId="2253" xr:uid="{00000000-0005-0000-0000-0000A6130000}"/>
    <cellStyle name="Normal 31 2 2 2 2 2 3 2 3 2" xfId="6113" xr:uid="{00000000-0005-0000-0000-0000A7130000}"/>
    <cellStyle name="Normal 31 2 2 2 2 2 3 2 3 3" xfId="11029" xr:uid="{00000000-0005-0000-0000-0000A8130000}"/>
    <cellStyle name="Normal 31 2 2 2 2 2 3 2 4" xfId="3481" xr:uid="{00000000-0005-0000-0000-0000A9130000}"/>
    <cellStyle name="Normal 31 2 2 2 2 2 3 2 4 2" xfId="7337" xr:uid="{00000000-0005-0000-0000-0000AA130000}"/>
    <cellStyle name="Normal 31 2 2 2 2 2 3 2 4 3" xfId="9787" xr:uid="{00000000-0005-0000-0000-0000AB130000}"/>
    <cellStyle name="Normal 31 2 2 2 2 2 3 2 5" xfId="4889" xr:uid="{00000000-0005-0000-0000-0000AC130000}"/>
    <cellStyle name="Normal 31 2 2 2 2 2 3 2 6" xfId="8544" xr:uid="{00000000-0005-0000-0000-0000AD130000}"/>
    <cellStyle name="Normal 31 2 2 2 2 2 3 3" xfId="1333" xr:uid="{00000000-0005-0000-0000-0000AE130000}"/>
    <cellStyle name="Normal 31 2 2 2 2 2 3 3 2" xfId="2559" xr:uid="{00000000-0005-0000-0000-0000AF130000}"/>
    <cellStyle name="Normal 31 2 2 2 2 2 3 3 2 2" xfId="6419" xr:uid="{00000000-0005-0000-0000-0000B0130000}"/>
    <cellStyle name="Normal 31 2 2 2 2 2 3 3 2 3" xfId="11371" xr:uid="{00000000-0005-0000-0000-0000B1130000}"/>
    <cellStyle name="Normal 31 2 2 2 2 2 3 3 3" xfId="3787" xr:uid="{00000000-0005-0000-0000-0000B2130000}"/>
    <cellStyle name="Normal 31 2 2 2 2 2 3 3 3 2" xfId="7643" xr:uid="{00000000-0005-0000-0000-0000B3130000}"/>
    <cellStyle name="Normal 31 2 2 2 2 2 3 3 3 3" xfId="10129" xr:uid="{00000000-0005-0000-0000-0000B4130000}"/>
    <cellStyle name="Normal 31 2 2 2 2 2 3 3 4" xfId="5195" xr:uid="{00000000-0005-0000-0000-0000B5130000}"/>
    <cellStyle name="Normal 31 2 2 2 2 2 3 3 5" xfId="8887" xr:uid="{00000000-0005-0000-0000-0000B6130000}"/>
    <cellStyle name="Normal 31 2 2 2 2 2 3 4" xfId="1947" xr:uid="{00000000-0005-0000-0000-0000B7130000}"/>
    <cellStyle name="Normal 31 2 2 2 2 2 3 4 2" xfId="5807" xr:uid="{00000000-0005-0000-0000-0000B8130000}"/>
    <cellStyle name="Normal 31 2 2 2 2 2 3 4 3" xfId="10741" xr:uid="{00000000-0005-0000-0000-0000B9130000}"/>
    <cellStyle name="Normal 31 2 2 2 2 2 3 5" xfId="3174" xr:uid="{00000000-0005-0000-0000-0000BA130000}"/>
    <cellStyle name="Normal 31 2 2 2 2 2 3 5 2" xfId="7031" xr:uid="{00000000-0005-0000-0000-0000BB130000}"/>
    <cellStyle name="Normal 31 2 2 2 2 2 3 5 3" xfId="11947" xr:uid="{00000000-0005-0000-0000-0000BC130000}"/>
    <cellStyle name="Normal 31 2 2 2 2 2 3 6" xfId="4583" xr:uid="{00000000-0005-0000-0000-0000BD130000}"/>
    <cellStyle name="Normal 31 2 2 2 2 2 3 6 2" xfId="9499" xr:uid="{00000000-0005-0000-0000-0000BE130000}"/>
    <cellStyle name="Normal 31 2 2 2 2 2 3 7" xfId="8256" xr:uid="{00000000-0005-0000-0000-0000BF130000}"/>
    <cellStyle name="Normal 31 2 2 2 2 2 4" xfId="934" xr:uid="{00000000-0005-0000-0000-0000C0130000}"/>
    <cellStyle name="Normal 31 2 2 2 2 2 4 2" xfId="1549" xr:uid="{00000000-0005-0000-0000-0000C1130000}"/>
    <cellStyle name="Normal 31 2 2 2 2 2 4 2 2" xfId="2775" xr:uid="{00000000-0005-0000-0000-0000C2130000}"/>
    <cellStyle name="Normal 31 2 2 2 2 2 4 2 2 2" xfId="6635" xr:uid="{00000000-0005-0000-0000-0000C3130000}"/>
    <cellStyle name="Normal 31 2 2 2 2 2 4 2 2 3" xfId="11587" xr:uid="{00000000-0005-0000-0000-0000C4130000}"/>
    <cellStyle name="Normal 31 2 2 2 2 2 4 2 3" xfId="4003" xr:uid="{00000000-0005-0000-0000-0000C5130000}"/>
    <cellStyle name="Normal 31 2 2 2 2 2 4 2 3 2" xfId="7859" xr:uid="{00000000-0005-0000-0000-0000C6130000}"/>
    <cellStyle name="Normal 31 2 2 2 2 2 4 2 3 3" xfId="10345" xr:uid="{00000000-0005-0000-0000-0000C7130000}"/>
    <cellStyle name="Normal 31 2 2 2 2 2 4 2 4" xfId="5411" xr:uid="{00000000-0005-0000-0000-0000C8130000}"/>
    <cellStyle name="Normal 31 2 2 2 2 2 4 2 5" xfId="9103" xr:uid="{00000000-0005-0000-0000-0000C9130000}"/>
    <cellStyle name="Normal 31 2 2 2 2 2 4 3" xfId="2163" xr:uid="{00000000-0005-0000-0000-0000CA130000}"/>
    <cellStyle name="Normal 31 2 2 2 2 2 4 3 2" xfId="6023" xr:uid="{00000000-0005-0000-0000-0000CB130000}"/>
    <cellStyle name="Normal 31 2 2 2 2 2 4 3 3" xfId="10939" xr:uid="{00000000-0005-0000-0000-0000CC130000}"/>
    <cellStyle name="Normal 31 2 2 2 2 2 4 4" xfId="3391" xr:uid="{00000000-0005-0000-0000-0000CD130000}"/>
    <cellStyle name="Normal 31 2 2 2 2 2 4 4 2" xfId="7247" xr:uid="{00000000-0005-0000-0000-0000CE130000}"/>
    <cellStyle name="Normal 31 2 2 2 2 2 4 4 3" xfId="9697" xr:uid="{00000000-0005-0000-0000-0000CF130000}"/>
    <cellStyle name="Normal 31 2 2 2 2 2 4 5" xfId="4799" xr:uid="{00000000-0005-0000-0000-0000D0130000}"/>
    <cellStyle name="Normal 31 2 2 2 2 2 4 6" xfId="8454" xr:uid="{00000000-0005-0000-0000-0000D1130000}"/>
    <cellStyle name="Normal 31 2 2 2 2 2 5" xfId="1243" xr:uid="{00000000-0005-0000-0000-0000D2130000}"/>
    <cellStyle name="Normal 31 2 2 2 2 2 5 2" xfId="2469" xr:uid="{00000000-0005-0000-0000-0000D3130000}"/>
    <cellStyle name="Normal 31 2 2 2 2 2 5 2 2" xfId="6329" xr:uid="{00000000-0005-0000-0000-0000D4130000}"/>
    <cellStyle name="Normal 31 2 2 2 2 2 5 2 3" xfId="11281" xr:uid="{00000000-0005-0000-0000-0000D5130000}"/>
    <cellStyle name="Normal 31 2 2 2 2 2 5 3" xfId="3697" xr:uid="{00000000-0005-0000-0000-0000D6130000}"/>
    <cellStyle name="Normal 31 2 2 2 2 2 5 3 2" xfId="7553" xr:uid="{00000000-0005-0000-0000-0000D7130000}"/>
    <cellStyle name="Normal 31 2 2 2 2 2 5 3 3" xfId="10039" xr:uid="{00000000-0005-0000-0000-0000D8130000}"/>
    <cellStyle name="Normal 31 2 2 2 2 2 5 4" xfId="5105" xr:uid="{00000000-0005-0000-0000-0000D9130000}"/>
    <cellStyle name="Normal 31 2 2 2 2 2 5 5" xfId="8797" xr:uid="{00000000-0005-0000-0000-0000DA130000}"/>
    <cellStyle name="Normal 31 2 2 2 2 2 6" xfId="1857" xr:uid="{00000000-0005-0000-0000-0000DB130000}"/>
    <cellStyle name="Normal 31 2 2 2 2 2 6 2" xfId="5717" xr:uid="{00000000-0005-0000-0000-0000DC130000}"/>
    <cellStyle name="Normal 31 2 2 2 2 2 6 3" xfId="10651" xr:uid="{00000000-0005-0000-0000-0000DD130000}"/>
    <cellStyle name="Normal 31 2 2 2 2 2 7" xfId="3084" xr:uid="{00000000-0005-0000-0000-0000DE130000}"/>
    <cellStyle name="Normal 31 2 2 2 2 2 7 2" xfId="6941" xr:uid="{00000000-0005-0000-0000-0000DF130000}"/>
    <cellStyle name="Normal 31 2 2 2 2 2 7 3" xfId="11857" xr:uid="{00000000-0005-0000-0000-0000E0130000}"/>
    <cellStyle name="Normal 31 2 2 2 2 2 8" xfId="4493" xr:uid="{00000000-0005-0000-0000-0000E1130000}"/>
    <cellStyle name="Normal 31 2 2 2 2 2 8 2" xfId="9409" xr:uid="{00000000-0005-0000-0000-0000E2130000}"/>
    <cellStyle name="Normal 31 2 2 2 2 2 9" xfId="8166" xr:uid="{00000000-0005-0000-0000-0000E3130000}"/>
    <cellStyle name="Normal 31 2 2 2 2 3" xfId="729" xr:uid="{00000000-0005-0000-0000-0000E4130000}"/>
    <cellStyle name="Normal 31 2 2 2 2 3 2" xfId="1079" xr:uid="{00000000-0005-0000-0000-0000E5130000}"/>
    <cellStyle name="Normal 31 2 2 2 2 3 2 2" xfId="1693" xr:uid="{00000000-0005-0000-0000-0000E6130000}"/>
    <cellStyle name="Normal 31 2 2 2 2 3 2 2 2" xfId="2919" xr:uid="{00000000-0005-0000-0000-0000E7130000}"/>
    <cellStyle name="Normal 31 2 2 2 2 3 2 2 2 2" xfId="6779" xr:uid="{00000000-0005-0000-0000-0000E8130000}"/>
    <cellStyle name="Normal 31 2 2 2 2 3 2 2 2 3" xfId="11731" xr:uid="{00000000-0005-0000-0000-0000E9130000}"/>
    <cellStyle name="Normal 31 2 2 2 2 3 2 2 3" xfId="4147" xr:uid="{00000000-0005-0000-0000-0000EA130000}"/>
    <cellStyle name="Normal 31 2 2 2 2 3 2 2 3 2" xfId="8003" xr:uid="{00000000-0005-0000-0000-0000EB130000}"/>
    <cellStyle name="Normal 31 2 2 2 2 3 2 2 3 3" xfId="10489" xr:uid="{00000000-0005-0000-0000-0000EC130000}"/>
    <cellStyle name="Normal 31 2 2 2 2 3 2 2 4" xfId="5555" xr:uid="{00000000-0005-0000-0000-0000ED130000}"/>
    <cellStyle name="Normal 31 2 2 2 2 3 2 2 5" xfId="9247" xr:uid="{00000000-0005-0000-0000-0000EE130000}"/>
    <cellStyle name="Normal 31 2 2 2 2 3 2 3" xfId="2307" xr:uid="{00000000-0005-0000-0000-0000EF130000}"/>
    <cellStyle name="Normal 31 2 2 2 2 3 2 3 2" xfId="6167" xr:uid="{00000000-0005-0000-0000-0000F0130000}"/>
    <cellStyle name="Normal 31 2 2 2 2 3 2 3 3" xfId="11083" xr:uid="{00000000-0005-0000-0000-0000F1130000}"/>
    <cellStyle name="Normal 31 2 2 2 2 3 2 4" xfId="3535" xr:uid="{00000000-0005-0000-0000-0000F2130000}"/>
    <cellStyle name="Normal 31 2 2 2 2 3 2 4 2" xfId="7391" xr:uid="{00000000-0005-0000-0000-0000F3130000}"/>
    <cellStyle name="Normal 31 2 2 2 2 3 2 4 3" xfId="9841" xr:uid="{00000000-0005-0000-0000-0000F4130000}"/>
    <cellStyle name="Normal 31 2 2 2 2 3 2 5" xfId="4943" xr:uid="{00000000-0005-0000-0000-0000F5130000}"/>
    <cellStyle name="Normal 31 2 2 2 2 3 2 6" xfId="8598" xr:uid="{00000000-0005-0000-0000-0000F6130000}"/>
    <cellStyle name="Normal 31 2 2 2 2 3 3" xfId="1387" xr:uid="{00000000-0005-0000-0000-0000F7130000}"/>
    <cellStyle name="Normal 31 2 2 2 2 3 3 2" xfId="2613" xr:uid="{00000000-0005-0000-0000-0000F8130000}"/>
    <cellStyle name="Normal 31 2 2 2 2 3 3 2 2" xfId="6473" xr:uid="{00000000-0005-0000-0000-0000F9130000}"/>
    <cellStyle name="Normal 31 2 2 2 2 3 3 2 3" xfId="11425" xr:uid="{00000000-0005-0000-0000-0000FA130000}"/>
    <cellStyle name="Normal 31 2 2 2 2 3 3 3" xfId="3841" xr:uid="{00000000-0005-0000-0000-0000FB130000}"/>
    <cellStyle name="Normal 31 2 2 2 2 3 3 3 2" xfId="7697" xr:uid="{00000000-0005-0000-0000-0000FC130000}"/>
    <cellStyle name="Normal 31 2 2 2 2 3 3 3 3" xfId="10183" xr:uid="{00000000-0005-0000-0000-0000FD130000}"/>
    <cellStyle name="Normal 31 2 2 2 2 3 3 4" xfId="5249" xr:uid="{00000000-0005-0000-0000-0000FE130000}"/>
    <cellStyle name="Normal 31 2 2 2 2 3 3 5" xfId="8941" xr:uid="{00000000-0005-0000-0000-0000FF130000}"/>
    <cellStyle name="Normal 31 2 2 2 2 3 4" xfId="2001" xr:uid="{00000000-0005-0000-0000-000000140000}"/>
    <cellStyle name="Normal 31 2 2 2 2 3 4 2" xfId="5861" xr:uid="{00000000-0005-0000-0000-000001140000}"/>
    <cellStyle name="Normal 31 2 2 2 2 3 4 3" xfId="10795" xr:uid="{00000000-0005-0000-0000-000002140000}"/>
    <cellStyle name="Normal 31 2 2 2 2 3 5" xfId="3228" xr:uid="{00000000-0005-0000-0000-000003140000}"/>
    <cellStyle name="Normal 31 2 2 2 2 3 5 2" xfId="7085" xr:uid="{00000000-0005-0000-0000-000004140000}"/>
    <cellStyle name="Normal 31 2 2 2 2 3 5 3" xfId="12001" xr:uid="{00000000-0005-0000-0000-000005140000}"/>
    <cellStyle name="Normal 31 2 2 2 2 3 6" xfId="4637" xr:uid="{00000000-0005-0000-0000-000006140000}"/>
    <cellStyle name="Normal 31 2 2 2 2 3 6 2" xfId="9553" xr:uid="{00000000-0005-0000-0000-000007140000}"/>
    <cellStyle name="Normal 31 2 2 2 2 3 7" xfId="8310" xr:uid="{00000000-0005-0000-0000-000008140000}"/>
    <cellStyle name="Normal 31 2 2 2 2 4" xfId="639" xr:uid="{00000000-0005-0000-0000-000009140000}"/>
    <cellStyle name="Normal 31 2 2 2 2 4 2" xfId="989" xr:uid="{00000000-0005-0000-0000-00000A140000}"/>
    <cellStyle name="Normal 31 2 2 2 2 4 2 2" xfId="1603" xr:uid="{00000000-0005-0000-0000-00000B140000}"/>
    <cellStyle name="Normal 31 2 2 2 2 4 2 2 2" xfId="2829" xr:uid="{00000000-0005-0000-0000-00000C140000}"/>
    <cellStyle name="Normal 31 2 2 2 2 4 2 2 2 2" xfId="6689" xr:uid="{00000000-0005-0000-0000-00000D140000}"/>
    <cellStyle name="Normal 31 2 2 2 2 4 2 2 2 3" xfId="11641" xr:uid="{00000000-0005-0000-0000-00000E140000}"/>
    <cellStyle name="Normal 31 2 2 2 2 4 2 2 3" xfId="4057" xr:uid="{00000000-0005-0000-0000-00000F140000}"/>
    <cellStyle name="Normal 31 2 2 2 2 4 2 2 3 2" xfId="7913" xr:uid="{00000000-0005-0000-0000-000010140000}"/>
    <cellStyle name="Normal 31 2 2 2 2 4 2 2 3 3" xfId="10399" xr:uid="{00000000-0005-0000-0000-000011140000}"/>
    <cellStyle name="Normal 31 2 2 2 2 4 2 2 4" xfId="5465" xr:uid="{00000000-0005-0000-0000-000012140000}"/>
    <cellStyle name="Normal 31 2 2 2 2 4 2 2 5" xfId="9157" xr:uid="{00000000-0005-0000-0000-000013140000}"/>
    <cellStyle name="Normal 31 2 2 2 2 4 2 3" xfId="2217" xr:uid="{00000000-0005-0000-0000-000014140000}"/>
    <cellStyle name="Normal 31 2 2 2 2 4 2 3 2" xfId="6077" xr:uid="{00000000-0005-0000-0000-000015140000}"/>
    <cellStyle name="Normal 31 2 2 2 2 4 2 3 3" xfId="10993" xr:uid="{00000000-0005-0000-0000-000016140000}"/>
    <cellStyle name="Normal 31 2 2 2 2 4 2 4" xfId="3445" xr:uid="{00000000-0005-0000-0000-000017140000}"/>
    <cellStyle name="Normal 31 2 2 2 2 4 2 4 2" xfId="7301" xr:uid="{00000000-0005-0000-0000-000018140000}"/>
    <cellStyle name="Normal 31 2 2 2 2 4 2 4 3" xfId="9751" xr:uid="{00000000-0005-0000-0000-000019140000}"/>
    <cellStyle name="Normal 31 2 2 2 2 4 2 5" xfId="4853" xr:uid="{00000000-0005-0000-0000-00001A140000}"/>
    <cellStyle name="Normal 31 2 2 2 2 4 2 6" xfId="8508" xr:uid="{00000000-0005-0000-0000-00001B140000}"/>
    <cellStyle name="Normal 31 2 2 2 2 4 3" xfId="1297" xr:uid="{00000000-0005-0000-0000-00001C140000}"/>
    <cellStyle name="Normal 31 2 2 2 2 4 3 2" xfId="2523" xr:uid="{00000000-0005-0000-0000-00001D140000}"/>
    <cellStyle name="Normal 31 2 2 2 2 4 3 2 2" xfId="6383" xr:uid="{00000000-0005-0000-0000-00001E140000}"/>
    <cellStyle name="Normal 31 2 2 2 2 4 3 2 3" xfId="11335" xr:uid="{00000000-0005-0000-0000-00001F140000}"/>
    <cellStyle name="Normal 31 2 2 2 2 4 3 3" xfId="3751" xr:uid="{00000000-0005-0000-0000-000020140000}"/>
    <cellStyle name="Normal 31 2 2 2 2 4 3 3 2" xfId="7607" xr:uid="{00000000-0005-0000-0000-000021140000}"/>
    <cellStyle name="Normal 31 2 2 2 2 4 3 3 3" xfId="10093" xr:uid="{00000000-0005-0000-0000-000022140000}"/>
    <cellStyle name="Normal 31 2 2 2 2 4 3 4" xfId="5159" xr:uid="{00000000-0005-0000-0000-000023140000}"/>
    <cellStyle name="Normal 31 2 2 2 2 4 3 5" xfId="8851" xr:uid="{00000000-0005-0000-0000-000024140000}"/>
    <cellStyle name="Normal 31 2 2 2 2 4 4" xfId="1911" xr:uid="{00000000-0005-0000-0000-000025140000}"/>
    <cellStyle name="Normal 31 2 2 2 2 4 4 2" xfId="5771" xr:uid="{00000000-0005-0000-0000-000026140000}"/>
    <cellStyle name="Normal 31 2 2 2 2 4 4 3" xfId="10705" xr:uid="{00000000-0005-0000-0000-000027140000}"/>
    <cellStyle name="Normal 31 2 2 2 2 4 5" xfId="3138" xr:uid="{00000000-0005-0000-0000-000028140000}"/>
    <cellStyle name="Normal 31 2 2 2 2 4 5 2" xfId="6995" xr:uid="{00000000-0005-0000-0000-000029140000}"/>
    <cellStyle name="Normal 31 2 2 2 2 4 5 3" xfId="11911" xr:uid="{00000000-0005-0000-0000-00002A140000}"/>
    <cellStyle name="Normal 31 2 2 2 2 4 6" xfId="4547" xr:uid="{00000000-0005-0000-0000-00002B140000}"/>
    <cellStyle name="Normal 31 2 2 2 2 4 6 2" xfId="9463" xr:uid="{00000000-0005-0000-0000-00002C140000}"/>
    <cellStyle name="Normal 31 2 2 2 2 4 7" xfId="8220" xr:uid="{00000000-0005-0000-0000-00002D140000}"/>
    <cellStyle name="Normal 31 2 2 2 2 5" xfId="545" xr:uid="{00000000-0005-0000-0000-00002E140000}"/>
    <cellStyle name="Normal 31 2 2 2 2 5 2" xfId="895" xr:uid="{00000000-0005-0000-0000-00002F140000}"/>
    <cellStyle name="Normal 31 2 2 2 2 5 2 2" xfId="1513" xr:uid="{00000000-0005-0000-0000-000030140000}"/>
    <cellStyle name="Normal 31 2 2 2 2 5 2 2 2" xfId="2739" xr:uid="{00000000-0005-0000-0000-000031140000}"/>
    <cellStyle name="Normal 31 2 2 2 2 5 2 2 2 2" xfId="6599" xr:uid="{00000000-0005-0000-0000-000032140000}"/>
    <cellStyle name="Normal 31 2 2 2 2 5 2 2 2 3" xfId="11551" xr:uid="{00000000-0005-0000-0000-000033140000}"/>
    <cellStyle name="Normal 31 2 2 2 2 5 2 2 3" xfId="3967" xr:uid="{00000000-0005-0000-0000-000034140000}"/>
    <cellStyle name="Normal 31 2 2 2 2 5 2 2 3 2" xfId="7823" xr:uid="{00000000-0005-0000-0000-000035140000}"/>
    <cellStyle name="Normal 31 2 2 2 2 5 2 2 3 3" xfId="10309" xr:uid="{00000000-0005-0000-0000-000036140000}"/>
    <cellStyle name="Normal 31 2 2 2 2 5 2 2 4" xfId="5375" xr:uid="{00000000-0005-0000-0000-000037140000}"/>
    <cellStyle name="Normal 31 2 2 2 2 5 2 2 5" xfId="9067" xr:uid="{00000000-0005-0000-0000-000038140000}"/>
    <cellStyle name="Normal 31 2 2 2 2 5 2 3" xfId="2127" xr:uid="{00000000-0005-0000-0000-000039140000}"/>
    <cellStyle name="Normal 31 2 2 2 2 5 2 3 2" xfId="5987" xr:uid="{00000000-0005-0000-0000-00003A140000}"/>
    <cellStyle name="Normal 31 2 2 2 2 5 2 3 3" xfId="11155" xr:uid="{00000000-0005-0000-0000-00003B140000}"/>
    <cellStyle name="Normal 31 2 2 2 2 5 2 4" xfId="3355" xr:uid="{00000000-0005-0000-0000-00003C140000}"/>
    <cellStyle name="Normal 31 2 2 2 2 5 2 4 2" xfId="7211" xr:uid="{00000000-0005-0000-0000-00003D140000}"/>
    <cellStyle name="Normal 31 2 2 2 2 5 2 4 3" xfId="9913" xr:uid="{00000000-0005-0000-0000-00003E140000}"/>
    <cellStyle name="Normal 31 2 2 2 2 5 2 5" xfId="4763" xr:uid="{00000000-0005-0000-0000-00003F140000}"/>
    <cellStyle name="Normal 31 2 2 2 2 5 2 6" xfId="8671" xr:uid="{00000000-0005-0000-0000-000040140000}"/>
    <cellStyle name="Normal 31 2 2 2 2 5 3" xfId="1207" xr:uid="{00000000-0005-0000-0000-000041140000}"/>
    <cellStyle name="Normal 31 2 2 2 2 5 3 2" xfId="2433" xr:uid="{00000000-0005-0000-0000-000042140000}"/>
    <cellStyle name="Normal 31 2 2 2 2 5 3 2 2" xfId="6293" xr:uid="{00000000-0005-0000-0000-000043140000}"/>
    <cellStyle name="Normal 31 2 2 2 2 5 3 2 3" xfId="11245" xr:uid="{00000000-0005-0000-0000-000044140000}"/>
    <cellStyle name="Normal 31 2 2 2 2 5 3 3" xfId="3661" xr:uid="{00000000-0005-0000-0000-000045140000}"/>
    <cellStyle name="Normal 31 2 2 2 2 5 3 3 2" xfId="7517" xr:uid="{00000000-0005-0000-0000-000046140000}"/>
    <cellStyle name="Normal 31 2 2 2 2 5 3 3 3" xfId="10003" xr:uid="{00000000-0005-0000-0000-000047140000}"/>
    <cellStyle name="Normal 31 2 2 2 2 5 3 4" xfId="5069" xr:uid="{00000000-0005-0000-0000-000048140000}"/>
    <cellStyle name="Normal 31 2 2 2 2 5 3 5" xfId="8761" xr:uid="{00000000-0005-0000-0000-000049140000}"/>
    <cellStyle name="Normal 31 2 2 2 2 5 4" xfId="1821" xr:uid="{00000000-0005-0000-0000-00004A140000}"/>
    <cellStyle name="Normal 31 2 2 2 2 5 4 2" xfId="5681" xr:uid="{00000000-0005-0000-0000-00004B140000}"/>
    <cellStyle name="Normal 31 2 2 2 2 5 4 2 2" xfId="11137" xr:uid="{00000000-0005-0000-0000-00004C140000}"/>
    <cellStyle name="Normal 31 2 2 2 2 5 4 3" xfId="9895" xr:uid="{00000000-0005-0000-0000-00004D140000}"/>
    <cellStyle name="Normal 31 2 2 2 2 5 4 4" xfId="8652" xr:uid="{00000000-0005-0000-0000-00004E140000}"/>
    <cellStyle name="Normal 31 2 2 2 2 5 5" xfId="3048" xr:uid="{00000000-0005-0000-0000-00004F140000}"/>
    <cellStyle name="Normal 31 2 2 2 2 5 5 2" xfId="6905" xr:uid="{00000000-0005-0000-0000-000050140000}"/>
    <cellStyle name="Normal 31 2 2 2 2 5 5 3" xfId="10615" xr:uid="{00000000-0005-0000-0000-000051140000}"/>
    <cellStyle name="Normal 31 2 2 2 2 5 6" xfId="4457" xr:uid="{00000000-0005-0000-0000-000052140000}"/>
    <cellStyle name="Normal 31 2 2 2 2 5 6 2" xfId="9373" xr:uid="{00000000-0005-0000-0000-000053140000}"/>
    <cellStyle name="Normal 31 2 2 2 2 5 7" xfId="8130" xr:uid="{00000000-0005-0000-0000-000054140000}"/>
    <cellStyle name="Normal 31 2 2 2 2 6" xfId="821" xr:uid="{00000000-0005-0000-0000-000055140000}"/>
    <cellStyle name="Normal 31 2 2 2 2 6 2" xfId="1459" xr:uid="{00000000-0005-0000-0000-000056140000}"/>
    <cellStyle name="Normal 31 2 2 2 2 6 2 2" xfId="2685" xr:uid="{00000000-0005-0000-0000-000057140000}"/>
    <cellStyle name="Normal 31 2 2 2 2 6 2 2 2" xfId="6545" xr:uid="{00000000-0005-0000-0000-000058140000}"/>
    <cellStyle name="Normal 31 2 2 2 2 6 2 2 3" xfId="11497" xr:uid="{00000000-0005-0000-0000-000059140000}"/>
    <cellStyle name="Normal 31 2 2 2 2 6 2 3" xfId="3913" xr:uid="{00000000-0005-0000-0000-00005A140000}"/>
    <cellStyle name="Normal 31 2 2 2 2 6 2 3 2" xfId="7769" xr:uid="{00000000-0005-0000-0000-00005B140000}"/>
    <cellStyle name="Normal 31 2 2 2 2 6 2 3 3" xfId="10255" xr:uid="{00000000-0005-0000-0000-00005C140000}"/>
    <cellStyle name="Normal 31 2 2 2 2 6 2 4" xfId="5321" xr:uid="{00000000-0005-0000-0000-00005D140000}"/>
    <cellStyle name="Normal 31 2 2 2 2 6 2 5" xfId="9013" xr:uid="{00000000-0005-0000-0000-00005E140000}"/>
    <cellStyle name="Normal 31 2 2 2 2 6 3" xfId="2073" xr:uid="{00000000-0005-0000-0000-00005F140000}"/>
    <cellStyle name="Normal 31 2 2 2 2 6 3 2" xfId="5933" xr:uid="{00000000-0005-0000-0000-000060140000}"/>
    <cellStyle name="Normal 31 2 2 2 2 6 3 3" xfId="10903" xr:uid="{00000000-0005-0000-0000-000061140000}"/>
    <cellStyle name="Normal 31 2 2 2 2 6 4" xfId="3301" xr:uid="{00000000-0005-0000-0000-000062140000}"/>
    <cellStyle name="Normal 31 2 2 2 2 6 4 2" xfId="7157" xr:uid="{00000000-0005-0000-0000-000063140000}"/>
    <cellStyle name="Normal 31 2 2 2 2 6 4 3" xfId="9661" xr:uid="{00000000-0005-0000-0000-000064140000}"/>
    <cellStyle name="Normal 31 2 2 2 2 6 5" xfId="4709" xr:uid="{00000000-0005-0000-0000-000065140000}"/>
    <cellStyle name="Normal 31 2 2 2 2 6 6" xfId="8418" xr:uid="{00000000-0005-0000-0000-000066140000}"/>
    <cellStyle name="Normal 31 2 2 2 2 7" xfId="1153" xr:uid="{00000000-0005-0000-0000-000067140000}"/>
    <cellStyle name="Normal 31 2 2 2 2 7 2" xfId="2379" xr:uid="{00000000-0005-0000-0000-000068140000}"/>
    <cellStyle name="Normal 31 2 2 2 2 7 2 2" xfId="6239" xr:uid="{00000000-0005-0000-0000-000069140000}"/>
    <cellStyle name="Normal 31 2 2 2 2 7 2 3" xfId="11191" xr:uid="{00000000-0005-0000-0000-00006A140000}"/>
    <cellStyle name="Normal 31 2 2 2 2 7 3" xfId="3607" xr:uid="{00000000-0005-0000-0000-00006B140000}"/>
    <cellStyle name="Normal 31 2 2 2 2 7 3 2" xfId="7463" xr:uid="{00000000-0005-0000-0000-00006C140000}"/>
    <cellStyle name="Normal 31 2 2 2 2 7 3 3" xfId="9949" xr:uid="{00000000-0005-0000-0000-00006D140000}"/>
    <cellStyle name="Normal 31 2 2 2 2 7 4" xfId="5015" xr:uid="{00000000-0005-0000-0000-00006E140000}"/>
    <cellStyle name="Normal 31 2 2 2 2 7 5" xfId="8707" xr:uid="{00000000-0005-0000-0000-00006F140000}"/>
    <cellStyle name="Normal 31 2 2 2 2 8" xfId="1767" xr:uid="{00000000-0005-0000-0000-000070140000}"/>
    <cellStyle name="Normal 31 2 2 2 2 8 2" xfId="5627" xr:uid="{00000000-0005-0000-0000-000071140000}"/>
    <cellStyle name="Normal 31 2 2 2 2 8 3" xfId="10561" xr:uid="{00000000-0005-0000-0000-000072140000}"/>
    <cellStyle name="Normal 31 2 2 2 2 9" xfId="2994" xr:uid="{00000000-0005-0000-0000-000073140000}"/>
    <cellStyle name="Normal 31 2 2 2 2 9 2" xfId="6851" xr:uid="{00000000-0005-0000-0000-000074140000}"/>
    <cellStyle name="Normal 31 2 2 2 2 9 3" xfId="11821" xr:uid="{00000000-0005-0000-0000-000075140000}"/>
    <cellStyle name="Normal 31 2 2 2 3" xfId="566" xr:uid="{00000000-0005-0000-0000-000076140000}"/>
    <cellStyle name="Normal 31 2 2 2 3 2" xfId="747" xr:uid="{00000000-0005-0000-0000-000077140000}"/>
    <cellStyle name="Normal 31 2 2 2 3 2 2" xfId="1097" xr:uid="{00000000-0005-0000-0000-000078140000}"/>
    <cellStyle name="Normal 31 2 2 2 3 2 2 2" xfId="1711" xr:uid="{00000000-0005-0000-0000-000079140000}"/>
    <cellStyle name="Normal 31 2 2 2 3 2 2 2 2" xfId="2937" xr:uid="{00000000-0005-0000-0000-00007A140000}"/>
    <cellStyle name="Normal 31 2 2 2 3 2 2 2 2 2" xfId="6797" xr:uid="{00000000-0005-0000-0000-00007B140000}"/>
    <cellStyle name="Normal 31 2 2 2 3 2 2 2 2 3" xfId="11749" xr:uid="{00000000-0005-0000-0000-00007C140000}"/>
    <cellStyle name="Normal 31 2 2 2 3 2 2 2 3" xfId="4165" xr:uid="{00000000-0005-0000-0000-00007D140000}"/>
    <cellStyle name="Normal 31 2 2 2 3 2 2 2 3 2" xfId="8021" xr:uid="{00000000-0005-0000-0000-00007E140000}"/>
    <cellStyle name="Normal 31 2 2 2 3 2 2 2 3 3" xfId="10507" xr:uid="{00000000-0005-0000-0000-00007F140000}"/>
    <cellStyle name="Normal 31 2 2 2 3 2 2 2 4" xfId="5573" xr:uid="{00000000-0005-0000-0000-000080140000}"/>
    <cellStyle name="Normal 31 2 2 2 3 2 2 2 5" xfId="9265" xr:uid="{00000000-0005-0000-0000-000081140000}"/>
    <cellStyle name="Normal 31 2 2 2 3 2 2 3" xfId="2325" xr:uid="{00000000-0005-0000-0000-000082140000}"/>
    <cellStyle name="Normal 31 2 2 2 3 2 2 3 2" xfId="6185" xr:uid="{00000000-0005-0000-0000-000083140000}"/>
    <cellStyle name="Normal 31 2 2 2 3 2 2 3 3" xfId="11101" xr:uid="{00000000-0005-0000-0000-000084140000}"/>
    <cellStyle name="Normal 31 2 2 2 3 2 2 4" xfId="3553" xr:uid="{00000000-0005-0000-0000-000085140000}"/>
    <cellStyle name="Normal 31 2 2 2 3 2 2 4 2" xfId="7409" xr:uid="{00000000-0005-0000-0000-000086140000}"/>
    <cellStyle name="Normal 31 2 2 2 3 2 2 4 3" xfId="9859" xr:uid="{00000000-0005-0000-0000-000087140000}"/>
    <cellStyle name="Normal 31 2 2 2 3 2 2 5" xfId="4961" xr:uid="{00000000-0005-0000-0000-000088140000}"/>
    <cellStyle name="Normal 31 2 2 2 3 2 2 6" xfId="8616" xr:uid="{00000000-0005-0000-0000-000089140000}"/>
    <cellStyle name="Normal 31 2 2 2 3 2 3" xfId="1405" xr:uid="{00000000-0005-0000-0000-00008A140000}"/>
    <cellStyle name="Normal 31 2 2 2 3 2 3 2" xfId="2631" xr:uid="{00000000-0005-0000-0000-00008B140000}"/>
    <cellStyle name="Normal 31 2 2 2 3 2 3 2 2" xfId="6491" xr:uid="{00000000-0005-0000-0000-00008C140000}"/>
    <cellStyle name="Normal 31 2 2 2 3 2 3 2 3" xfId="11443" xr:uid="{00000000-0005-0000-0000-00008D140000}"/>
    <cellStyle name="Normal 31 2 2 2 3 2 3 3" xfId="3859" xr:uid="{00000000-0005-0000-0000-00008E140000}"/>
    <cellStyle name="Normal 31 2 2 2 3 2 3 3 2" xfId="7715" xr:uid="{00000000-0005-0000-0000-00008F140000}"/>
    <cellStyle name="Normal 31 2 2 2 3 2 3 3 3" xfId="10201" xr:uid="{00000000-0005-0000-0000-000090140000}"/>
    <cellStyle name="Normal 31 2 2 2 3 2 3 4" xfId="5267" xr:uid="{00000000-0005-0000-0000-000091140000}"/>
    <cellStyle name="Normal 31 2 2 2 3 2 3 5" xfId="8959" xr:uid="{00000000-0005-0000-0000-000092140000}"/>
    <cellStyle name="Normal 31 2 2 2 3 2 4" xfId="2019" xr:uid="{00000000-0005-0000-0000-000093140000}"/>
    <cellStyle name="Normal 31 2 2 2 3 2 4 2" xfId="5879" xr:uid="{00000000-0005-0000-0000-000094140000}"/>
    <cellStyle name="Normal 31 2 2 2 3 2 4 3" xfId="10813" xr:uid="{00000000-0005-0000-0000-000095140000}"/>
    <cellStyle name="Normal 31 2 2 2 3 2 5" xfId="3246" xr:uid="{00000000-0005-0000-0000-000096140000}"/>
    <cellStyle name="Normal 31 2 2 2 3 2 5 2" xfId="7103" xr:uid="{00000000-0005-0000-0000-000097140000}"/>
    <cellStyle name="Normal 31 2 2 2 3 2 5 3" xfId="12019" xr:uid="{00000000-0005-0000-0000-000098140000}"/>
    <cellStyle name="Normal 31 2 2 2 3 2 6" xfId="4655" xr:uid="{00000000-0005-0000-0000-000099140000}"/>
    <cellStyle name="Normal 31 2 2 2 3 2 6 2" xfId="9571" xr:uid="{00000000-0005-0000-0000-00009A140000}"/>
    <cellStyle name="Normal 31 2 2 2 3 2 7" xfId="8328" xr:uid="{00000000-0005-0000-0000-00009B140000}"/>
    <cellStyle name="Normal 31 2 2 2 3 3" xfId="657" xr:uid="{00000000-0005-0000-0000-00009C140000}"/>
    <cellStyle name="Normal 31 2 2 2 3 3 2" xfId="1007" xr:uid="{00000000-0005-0000-0000-00009D140000}"/>
    <cellStyle name="Normal 31 2 2 2 3 3 2 2" xfId="1621" xr:uid="{00000000-0005-0000-0000-00009E140000}"/>
    <cellStyle name="Normal 31 2 2 2 3 3 2 2 2" xfId="2847" xr:uid="{00000000-0005-0000-0000-00009F140000}"/>
    <cellStyle name="Normal 31 2 2 2 3 3 2 2 2 2" xfId="6707" xr:uid="{00000000-0005-0000-0000-0000A0140000}"/>
    <cellStyle name="Normal 31 2 2 2 3 3 2 2 2 3" xfId="11659" xr:uid="{00000000-0005-0000-0000-0000A1140000}"/>
    <cellStyle name="Normal 31 2 2 2 3 3 2 2 3" xfId="4075" xr:uid="{00000000-0005-0000-0000-0000A2140000}"/>
    <cellStyle name="Normal 31 2 2 2 3 3 2 2 3 2" xfId="7931" xr:uid="{00000000-0005-0000-0000-0000A3140000}"/>
    <cellStyle name="Normal 31 2 2 2 3 3 2 2 3 3" xfId="10417" xr:uid="{00000000-0005-0000-0000-0000A4140000}"/>
    <cellStyle name="Normal 31 2 2 2 3 3 2 2 4" xfId="5483" xr:uid="{00000000-0005-0000-0000-0000A5140000}"/>
    <cellStyle name="Normal 31 2 2 2 3 3 2 2 5" xfId="9175" xr:uid="{00000000-0005-0000-0000-0000A6140000}"/>
    <cellStyle name="Normal 31 2 2 2 3 3 2 3" xfId="2235" xr:uid="{00000000-0005-0000-0000-0000A7140000}"/>
    <cellStyle name="Normal 31 2 2 2 3 3 2 3 2" xfId="6095" xr:uid="{00000000-0005-0000-0000-0000A8140000}"/>
    <cellStyle name="Normal 31 2 2 2 3 3 2 3 3" xfId="11011" xr:uid="{00000000-0005-0000-0000-0000A9140000}"/>
    <cellStyle name="Normal 31 2 2 2 3 3 2 4" xfId="3463" xr:uid="{00000000-0005-0000-0000-0000AA140000}"/>
    <cellStyle name="Normal 31 2 2 2 3 3 2 4 2" xfId="7319" xr:uid="{00000000-0005-0000-0000-0000AB140000}"/>
    <cellStyle name="Normal 31 2 2 2 3 3 2 4 3" xfId="9769" xr:uid="{00000000-0005-0000-0000-0000AC140000}"/>
    <cellStyle name="Normal 31 2 2 2 3 3 2 5" xfId="4871" xr:uid="{00000000-0005-0000-0000-0000AD140000}"/>
    <cellStyle name="Normal 31 2 2 2 3 3 2 6" xfId="8526" xr:uid="{00000000-0005-0000-0000-0000AE140000}"/>
    <cellStyle name="Normal 31 2 2 2 3 3 3" xfId="1315" xr:uid="{00000000-0005-0000-0000-0000AF140000}"/>
    <cellStyle name="Normal 31 2 2 2 3 3 3 2" xfId="2541" xr:uid="{00000000-0005-0000-0000-0000B0140000}"/>
    <cellStyle name="Normal 31 2 2 2 3 3 3 2 2" xfId="6401" xr:uid="{00000000-0005-0000-0000-0000B1140000}"/>
    <cellStyle name="Normal 31 2 2 2 3 3 3 2 3" xfId="11353" xr:uid="{00000000-0005-0000-0000-0000B2140000}"/>
    <cellStyle name="Normal 31 2 2 2 3 3 3 3" xfId="3769" xr:uid="{00000000-0005-0000-0000-0000B3140000}"/>
    <cellStyle name="Normal 31 2 2 2 3 3 3 3 2" xfId="7625" xr:uid="{00000000-0005-0000-0000-0000B4140000}"/>
    <cellStyle name="Normal 31 2 2 2 3 3 3 3 3" xfId="10111" xr:uid="{00000000-0005-0000-0000-0000B5140000}"/>
    <cellStyle name="Normal 31 2 2 2 3 3 3 4" xfId="5177" xr:uid="{00000000-0005-0000-0000-0000B6140000}"/>
    <cellStyle name="Normal 31 2 2 2 3 3 3 5" xfId="8869" xr:uid="{00000000-0005-0000-0000-0000B7140000}"/>
    <cellStyle name="Normal 31 2 2 2 3 3 4" xfId="1929" xr:uid="{00000000-0005-0000-0000-0000B8140000}"/>
    <cellStyle name="Normal 31 2 2 2 3 3 4 2" xfId="5789" xr:uid="{00000000-0005-0000-0000-0000B9140000}"/>
    <cellStyle name="Normal 31 2 2 2 3 3 4 3" xfId="10723" xr:uid="{00000000-0005-0000-0000-0000BA140000}"/>
    <cellStyle name="Normal 31 2 2 2 3 3 5" xfId="3156" xr:uid="{00000000-0005-0000-0000-0000BB140000}"/>
    <cellStyle name="Normal 31 2 2 2 3 3 5 2" xfId="7013" xr:uid="{00000000-0005-0000-0000-0000BC140000}"/>
    <cellStyle name="Normal 31 2 2 2 3 3 5 3" xfId="11929" xr:uid="{00000000-0005-0000-0000-0000BD140000}"/>
    <cellStyle name="Normal 31 2 2 2 3 3 6" xfId="4565" xr:uid="{00000000-0005-0000-0000-0000BE140000}"/>
    <cellStyle name="Normal 31 2 2 2 3 3 6 2" xfId="9481" xr:uid="{00000000-0005-0000-0000-0000BF140000}"/>
    <cellStyle name="Normal 31 2 2 2 3 3 7" xfId="8238" xr:uid="{00000000-0005-0000-0000-0000C0140000}"/>
    <cellStyle name="Normal 31 2 2 2 3 4" xfId="916" xr:uid="{00000000-0005-0000-0000-0000C1140000}"/>
    <cellStyle name="Normal 31 2 2 2 3 4 2" xfId="1531" xr:uid="{00000000-0005-0000-0000-0000C2140000}"/>
    <cellStyle name="Normal 31 2 2 2 3 4 2 2" xfId="2757" xr:uid="{00000000-0005-0000-0000-0000C3140000}"/>
    <cellStyle name="Normal 31 2 2 2 3 4 2 2 2" xfId="6617" xr:uid="{00000000-0005-0000-0000-0000C4140000}"/>
    <cellStyle name="Normal 31 2 2 2 3 4 2 2 3" xfId="11569" xr:uid="{00000000-0005-0000-0000-0000C5140000}"/>
    <cellStyle name="Normal 31 2 2 2 3 4 2 3" xfId="3985" xr:uid="{00000000-0005-0000-0000-0000C6140000}"/>
    <cellStyle name="Normal 31 2 2 2 3 4 2 3 2" xfId="7841" xr:uid="{00000000-0005-0000-0000-0000C7140000}"/>
    <cellStyle name="Normal 31 2 2 2 3 4 2 3 3" xfId="10327" xr:uid="{00000000-0005-0000-0000-0000C8140000}"/>
    <cellStyle name="Normal 31 2 2 2 3 4 2 4" xfId="5393" xr:uid="{00000000-0005-0000-0000-0000C9140000}"/>
    <cellStyle name="Normal 31 2 2 2 3 4 2 5" xfId="9085" xr:uid="{00000000-0005-0000-0000-0000CA140000}"/>
    <cellStyle name="Normal 31 2 2 2 3 4 3" xfId="2145" xr:uid="{00000000-0005-0000-0000-0000CB140000}"/>
    <cellStyle name="Normal 31 2 2 2 3 4 3 2" xfId="6005" xr:uid="{00000000-0005-0000-0000-0000CC140000}"/>
    <cellStyle name="Normal 31 2 2 2 3 4 3 3" xfId="10921" xr:uid="{00000000-0005-0000-0000-0000CD140000}"/>
    <cellStyle name="Normal 31 2 2 2 3 4 4" xfId="3373" xr:uid="{00000000-0005-0000-0000-0000CE140000}"/>
    <cellStyle name="Normal 31 2 2 2 3 4 4 2" xfId="7229" xr:uid="{00000000-0005-0000-0000-0000CF140000}"/>
    <cellStyle name="Normal 31 2 2 2 3 4 4 3" xfId="9679" xr:uid="{00000000-0005-0000-0000-0000D0140000}"/>
    <cellStyle name="Normal 31 2 2 2 3 4 5" xfId="4781" xr:uid="{00000000-0005-0000-0000-0000D1140000}"/>
    <cellStyle name="Normal 31 2 2 2 3 4 6" xfId="8436" xr:uid="{00000000-0005-0000-0000-0000D2140000}"/>
    <cellStyle name="Normal 31 2 2 2 3 5" xfId="1225" xr:uid="{00000000-0005-0000-0000-0000D3140000}"/>
    <cellStyle name="Normal 31 2 2 2 3 5 2" xfId="2451" xr:uid="{00000000-0005-0000-0000-0000D4140000}"/>
    <cellStyle name="Normal 31 2 2 2 3 5 2 2" xfId="6311" xr:uid="{00000000-0005-0000-0000-0000D5140000}"/>
    <cellStyle name="Normal 31 2 2 2 3 5 2 3" xfId="11263" xr:uid="{00000000-0005-0000-0000-0000D6140000}"/>
    <cellStyle name="Normal 31 2 2 2 3 5 3" xfId="3679" xr:uid="{00000000-0005-0000-0000-0000D7140000}"/>
    <cellStyle name="Normal 31 2 2 2 3 5 3 2" xfId="7535" xr:uid="{00000000-0005-0000-0000-0000D8140000}"/>
    <cellStyle name="Normal 31 2 2 2 3 5 3 3" xfId="10021" xr:uid="{00000000-0005-0000-0000-0000D9140000}"/>
    <cellStyle name="Normal 31 2 2 2 3 5 4" xfId="5087" xr:uid="{00000000-0005-0000-0000-0000DA140000}"/>
    <cellStyle name="Normal 31 2 2 2 3 5 5" xfId="8779" xr:uid="{00000000-0005-0000-0000-0000DB140000}"/>
    <cellStyle name="Normal 31 2 2 2 3 6" xfId="1839" xr:uid="{00000000-0005-0000-0000-0000DC140000}"/>
    <cellStyle name="Normal 31 2 2 2 3 6 2" xfId="5699" xr:uid="{00000000-0005-0000-0000-0000DD140000}"/>
    <cellStyle name="Normal 31 2 2 2 3 6 3" xfId="10633" xr:uid="{00000000-0005-0000-0000-0000DE140000}"/>
    <cellStyle name="Normal 31 2 2 2 3 7" xfId="3066" xr:uid="{00000000-0005-0000-0000-0000DF140000}"/>
    <cellStyle name="Normal 31 2 2 2 3 7 2" xfId="6923" xr:uid="{00000000-0005-0000-0000-0000E0140000}"/>
    <cellStyle name="Normal 31 2 2 2 3 7 3" xfId="11839" xr:uid="{00000000-0005-0000-0000-0000E1140000}"/>
    <cellStyle name="Normal 31 2 2 2 3 8" xfId="4475" xr:uid="{00000000-0005-0000-0000-0000E2140000}"/>
    <cellStyle name="Normal 31 2 2 2 3 8 2" xfId="9391" xr:uid="{00000000-0005-0000-0000-0000E3140000}"/>
    <cellStyle name="Normal 31 2 2 2 3 9" xfId="8148" xr:uid="{00000000-0005-0000-0000-0000E4140000}"/>
    <cellStyle name="Normal 31 2 2 2 4" xfId="509" xr:uid="{00000000-0005-0000-0000-0000E5140000}"/>
    <cellStyle name="Normal 31 2 2 2 4 2" xfId="711" xr:uid="{00000000-0005-0000-0000-0000E6140000}"/>
    <cellStyle name="Normal 31 2 2 2 4 2 2" xfId="1061" xr:uid="{00000000-0005-0000-0000-0000E7140000}"/>
    <cellStyle name="Normal 31 2 2 2 4 2 2 2" xfId="1675" xr:uid="{00000000-0005-0000-0000-0000E8140000}"/>
    <cellStyle name="Normal 31 2 2 2 4 2 2 2 2" xfId="2901" xr:uid="{00000000-0005-0000-0000-0000E9140000}"/>
    <cellStyle name="Normal 31 2 2 2 4 2 2 2 2 2" xfId="6761" xr:uid="{00000000-0005-0000-0000-0000EA140000}"/>
    <cellStyle name="Normal 31 2 2 2 4 2 2 2 2 3" xfId="11713" xr:uid="{00000000-0005-0000-0000-0000EB140000}"/>
    <cellStyle name="Normal 31 2 2 2 4 2 2 2 3" xfId="4129" xr:uid="{00000000-0005-0000-0000-0000EC140000}"/>
    <cellStyle name="Normal 31 2 2 2 4 2 2 2 3 2" xfId="7985" xr:uid="{00000000-0005-0000-0000-0000ED140000}"/>
    <cellStyle name="Normal 31 2 2 2 4 2 2 2 3 3" xfId="10471" xr:uid="{00000000-0005-0000-0000-0000EE140000}"/>
    <cellStyle name="Normal 31 2 2 2 4 2 2 2 4" xfId="5537" xr:uid="{00000000-0005-0000-0000-0000EF140000}"/>
    <cellStyle name="Normal 31 2 2 2 4 2 2 2 5" xfId="9229" xr:uid="{00000000-0005-0000-0000-0000F0140000}"/>
    <cellStyle name="Normal 31 2 2 2 4 2 2 3" xfId="2289" xr:uid="{00000000-0005-0000-0000-0000F1140000}"/>
    <cellStyle name="Normal 31 2 2 2 4 2 2 3 2" xfId="6149" xr:uid="{00000000-0005-0000-0000-0000F2140000}"/>
    <cellStyle name="Normal 31 2 2 2 4 2 2 3 3" xfId="11065" xr:uid="{00000000-0005-0000-0000-0000F3140000}"/>
    <cellStyle name="Normal 31 2 2 2 4 2 2 4" xfId="3517" xr:uid="{00000000-0005-0000-0000-0000F4140000}"/>
    <cellStyle name="Normal 31 2 2 2 4 2 2 4 2" xfId="7373" xr:uid="{00000000-0005-0000-0000-0000F5140000}"/>
    <cellStyle name="Normal 31 2 2 2 4 2 2 4 3" xfId="9823" xr:uid="{00000000-0005-0000-0000-0000F6140000}"/>
    <cellStyle name="Normal 31 2 2 2 4 2 2 5" xfId="4925" xr:uid="{00000000-0005-0000-0000-0000F7140000}"/>
    <cellStyle name="Normal 31 2 2 2 4 2 2 6" xfId="8580" xr:uid="{00000000-0005-0000-0000-0000F8140000}"/>
    <cellStyle name="Normal 31 2 2 2 4 2 3" xfId="1369" xr:uid="{00000000-0005-0000-0000-0000F9140000}"/>
    <cellStyle name="Normal 31 2 2 2 4 2 3 2" xfId="2595" xr:uid="{00000000-0005-0000-0000-0000FA140000}"/>
    <cellStyle name="Normal 31 2 2 2 4 2 3 2 2" xfId="6455" xr:uid="{00000000-0005-0000-0000-0000FB140000}"/>
    <cellStyle name="Normal 31 2 2 2 4 2 3 2 3" xfId="11407" xr:uid="{00000000-0005-0000-0000-0000FC140000}"/>
    <cellStyle name="Normal 31 2 2 2 4 2 3 3" xfId="3823" xr:uid="{00000000-0005-0000-0000-0000FD140000}"/>
    <cellStyle name="Normal 31 2 2 2 4 2 3 3 2" xfId="7679" xr:uid="{00000000-0005-0000-0000-0000FE140000}"/>
    <cellStyle name="Normal 31 2 2 2 4 2 3 3 3" xfId="10165" xr:uid="{00000000-0005-0000-0000-0000FF140000}"/>
    <cellStyle name="Normal 31 2 2 2 4 2 3 4" xfId="5231" xr:uid="{00000000-0005-0000-0000-000000150000}"/>
    <cellStyle name="Normal 31 2 2 2 4 2 3 5" xfId="8923" xr:uid="{00000000-0005-0000-0000-000001150000}"/>
    <cellStyle name="Normal 31 2 2 2 4 2 4" xfId="1983" xr:uid="{00000000-0005-0000-0000-000002150000}"/>
    <cellStyle name="Normal 31 2 2 2 4 2 4 2" xfId="5843" xr:uid="{00000000-0005-0000-0000-000003150000}"/>
    <cellStyle name="Normal 31 2 2 2 4 2 4 3" xfId="10777" xr:uid="{00000000-0005-0000-0000-000004150000}"/>
    <cellStyle name="Normal 31 2 2 2 4 2 5" xfId="3210" xr:uid="{00000000-0005-0000-0000-000005150000}"/>
    <cellStyle name="Normal 31 2 2 2 4 2 5 2" xfId="7067" xr:uid="{00000000-0005-0000-0000-000006150000}"/>
    <cellStyle name="Normal 31 2 2 2 4 2 5 3" xfId="11983" xr:uid="{00000000-0005-0000-0000-000007150000}"/>
    <cellStyle name="Normal 31 2 2 2 4 2 6" xfId="4619" xr:uid="{00000000-0005-0000-0000-000008150000}"/>
    <cellStyle name="Normal 31 2 2 2 4 2 6 2" xfId="9535" xr:uid="{00000000-0005-0000-0000-000009150000}"/>
    <cellStyle name="Normal 31 2 2 2 4 2 7" xfId="8292" xr:uid="{00000000-0005-0000-0000-00000A150000}"/>
    <cellStyle name="Normal 31 2 2 2 4 3" xfId="621" xr:uid="{00000000-0005-0000-0000-00000B150000}"/>
    <cellStyle name="Normal 31 2 2 2 4 3 2" xfId="971" xr:uid="{00000000-0005-0000-0000-00000C150000}"/>
    <cellStyle name="Normal 31 2 2 2 4 3 2 2" xfId="1585" xr:uid="{00000000-0005-0000-0000-00000D150000}"/>
    <cellStyle name="Normal 31 2 2 2 4 3 2 2 2" xfId="2811" xr:uid="{00000000-0005-0000-0000-00000E150000}"/>
    <cellStyle name="Normal 31 2 2 2 4 3 2 2 2 2" xfId="6671" xr:uid="{00000000-0005-0000-0000-00000F150000}"/>
    <cellStyle name="Normal 31 2 2 2 4 3 2 2 2 3" xfId="11623" xr:uid="{00000000-0005-0000-0000-000010150000}"/>
    <cellStyle name="Normal 31 2 2 2 4 3 2 2 3" xfId="4039" xr:uid="{00000000-0005-0000-0000-000011150000}"/>
    <cellStyle name="Normal 31 2 2 2 4 3 2 2 3 2" xfId="7895" xr:uid="{00000000-0005-0000-0000-000012150000}"/>
    <cellStyle name="Normal 31 2 2 2 4 3 2 2 3 3" xfId="10381" xr:uid="{00000000-0005-0000-0000-000013150000}"/>
    <cellStyle name="Normal 31 2 2 2 4 3 2 2 4" xfId="5447" xr:uid="{00000000-0005-0000-0000-000014150000}"/>
    <cellStyle name="Normal 31 2 2 2 4 3 2 2 5" xfId="9139" xr:uid="{00000000-0005-0000-0000-000015150000}"/>
    <cellStyle name="Normal 31 2 2 2 4 3 2 3" xfId="2199" xr:uid="{00000000-0005-0000-0000-000016150000}"/>
    <cellStyle name="Normal 31 2 2 2 4 3 2 3 2" xfId="6059" xr:uid="{00000000-0005-0000-0000-000017150000}"/>
    <cellStyle name="Normal 31 2 2 2 4 3 2 3 3" xfId="10975" xr:uid="{00000000-0005-0000-0000-000018150000}"/>
    <cellStyle name="Normal 31 2 2 2 4 3 2 4" xfId="3427" xr:uid="{00000000-0005-0000-0000-000019150000}"/>
    <cellStyle name="Normal 31 2 2 2 4 3 2 4 2" xfId="7283" xr:uid="{00000000-0005-0000-0000-00001A150000}"/>
    <cellStyle name="Normal 31 2 2 2 4 3 2 4 3" xfId="9733" xr:uid="{00000000-0005-0000-0000-00001B150000}"/>
    <cellStyle name="Normal 31 2 2 2 4 3 2 5" xfId="4835" xr:uid="{00000000-0005-0000-0000-00001C150000}"/>
    <cellStyle name="Normal 31 2 2 2 4 3 2 6" xfId="8490" xr:uid="{00000000-0005-0000-0000-00001D150000}"/>
    <cellStyle name="Normal 31 2 2 2 4 3 3" xfId="1279" xr:uid="{00000000-0005-0000-0000-00001E150000}"/>
    <cellStyle name="Normal 31 2 2 2 4 3 3 2" xfId="2505" xr:uid="{00000000-0005-0000-0000-00001F150000}"/>
    <cellStyle name="Normal 31 2 2 2 4 3 3 2 2" xfId="6365" xr:uid="{00000000-0005-0000-0000-000020150000}"/>
    <cellStyle name="Normal 31 2 2 2 4 3 3 2 3" xfId="11317" xr:uid="{00000000-0005-0000-0000-000021150000}"/>
    <cellStyle name="Normal 31 2 2 2 4 3 3 3" xfId="3733" xr:uid="{00000000-0005-0000-0000-000022150000}"/>
    <cellStyle name="Normal 31 2 2 2 4 3 3 3 2" xfId="7589" xr:uid="{00000000-0005-0000-0000-000023150000}"/>
    <cellStyle name="Normal 31 2 2 2 4 3 3 3 3" xfId="10075" xr:uid="{00000000-0005-0000-0000-000024150000}"/>
    <cellStyle name="Normal 31 2 2 2 4 3 3 4" xfId="5141" xr:uid="{00000000-0005-0000-0000-000025150000}"/>
    <cellStyle name="Normal 31 2 2 2 4 3 3 5" xfId="8833" xr:uid="{00000000-0005-0000-0000-000026150000}"/>
    <cellStyle name="Normal 31 2 2 2 4 3 4" xfId="1893" xr:uid="{00000000-0005-0000-0000-000027150000}"/>
    <cellStyle name="Normal 31 2 2 2 4 3 4 2" xfId="5753" xr:uid="{00000000-0005-0000-0000-000028150000}"/>
    <cellStyle name="Normal 31 2 2 2 4 3 4 3" xfId="10687" xr:uid="{00000000-0005-0000-0000-000029150000}"/>
    <cellStyle name="Normal 31 2 2 2 4 3 5" xfId="3120" xr:uid="{00000000-0005-0000-0000-00002A150000}"/>
    <cellStyle name="Normal 31 2 2 2 4 3 5 2" xfId="6977" xr:uid="{00000000-0005-0000-0000-00002B150000}"/>
    <cellStyle name="Normal 31 2 2 2 4 3 5 3" xfId="11893" xr:uid="{00000000-0005-0000-0000-00002C150000}"/>
    <cellStyle name="Normal 31 2 2 2 4 3 6" xfId="4529" xr:uid="{00000000-0005-0000-0000-00002D150000}"/>
    <cellStyle name="Normal 31 2 2 2 4 3 6 2" xfId="9445" xr:uid="{00000000-0005-0000-0000-00002E150000}"/>
    <cellStyle name="Normal 31 2 2 2 4 3 7" xfId="8202" xr:uid="{00000000-0005-0000-0000-00002F150000}"/>
    <cellStyle name="Normal 31 2 2 2 4 4" xfId="859" xr:uid="{00000000-0005-0000-0000-000030150000}"/>
    <cellStyle name="Normal 31 2 2 2 4 4 2" xfId="1495" xr:uid="{00000000-0005-0000-0000-000031150000}"/>
    <cellStyle name="Normal 31 2 2 2 4 4 2 2" xfId="2721" xr:uid="{00000000-0005-0000-0000-000032150000}"/>
    <cellStyle name="Normal 31 2 2 2 4 4 2 2 2" xfId="6581" xr:uid="{00000000-0005-0000-0000-000033150000}"/>
    <cellStyle name="Normal 31 2 2 2 4 4 2 2 3" xfId="11533" xr:uid="{00000000-0005-0000-0000-000034150000}"/>
    <cellStyle name="Normal 31 2 2 2 4 4 2 3" xfId="3949" xr:uid="{00000000-0005-0000-0000-000035150000}"/>
    <cellStyle name="Normal 31 2 2 2 4 4 2 3 2" xfId="7805" xr:uid="{00000000-0005-0000-0000-000036150000}"/>
    <cellStyle name="Normal 31 2 2 2 4 4 2 3 3" xfId="10291" xr:uid="{00000000-0005-0000-0000-000037150000}"/>
    <cellStyle name="Normal 31 2 2 2 4 4 2 4" xfId="5357" xr:uid="{00000000-0005-0000-0000-000038150000}"/>
    <cellStyle name="Normal 31 2 2 2 4 4 2 5" xfId="9049" xr:uid="{00000000-0005-0000-0000-000039150000}"/>
    <cellStyle name="Normal 31 2 2 2 4 4 3" xfId="2109" xr:uid="{00000000-0005-0000-0000-00003A150000}"/>
    <cellStyle name="Normal 31 2 2 2 4 4 3 2" xfId="5969" xr:uid="{00000000-0005-0000-0000-00003B150000}"/>
    <cellStyle name="Normal 31 2 2 2 4 4 3 3" xfId="10885" xr:uid="{00000000-0005-0000-0000-00003C150000}"/>
    <cellStyle name="Normal 31 2 2 2 4 4 4" xfId="3337" xr:uid="{00000000-0005-0000-0000-00003D150000}"/>
    <cellStyle name="Normal 31 2 2 2 4 4 4 2" xfId="7193" xr:uid="{00000000-0005-0000-0000-00003E150000}"/>
    <cellStyle name="Normal 31 2 2 2 4 4 4 3" xfId="9643" xr:uid="{00000000-0005-0000-0000-00003F150000}"/>
    <cellStyle name="Normal 31 2 2 2 4 4 5" xfId="4745" xr:uid="{00000000-0005-0000-0000-000040150000}"/>
    <cellStyle name="Normal 31 2 2 2 4 4 6" xfId="8400" xr:uid="{00000000-0005-0000-0000-000041150000}"/>
    <cellStyle name="Normal 31 2 2 2 4 5" xfId="1189" xr:uid="{00000000-0005-0000-0000-000042150000}"/>
    <cellStyle name="Normal 31 2 2 2 4 5 2" xfId="2415" xr:uid="{00000000-0005-0000-0000-000043150000}"/>
    <cellStyle name="Normal 31 2 2 2 4 5 2 2" xfId="6275" xr:uid="{00000000-0005-0000-0000-000044150000}"/>
    <cellStyle name="Normal 31 2 2 2 4 5 2 3" xfId="11227" xr:uid="{00000000-0005-0000-0000-000045150000}"/>
    <cellStyle name="Normal 31 2 2 2 4 5 3" xfId="3643" xr:uid="{00000000-0005-0000-0000-000046150000}"/>
    <cellStyle name="Normal 31 2 2 2 4 5 3 2" xfId="7499" xr:uid="{00000000-0005-0000-0000-000047150000}"/>
    <cellStyle name="Normal 31 2 2 2 4 5 3 3" xfId="9985" xr:uid="{00000000-0005-0000-0000-000048150000}"/>
    <cellStyle name="Normal 31 2 2 2 4 5 4" xfId="5051" xr:uid="{00000000-0005-0000-0000-000049150000}"/>
    <cellStyle name="Normal 31 2 2 2 4 5 5" xfId="8743" xr:uid="{00000000-0005-0000-0000-00004A150000}"/>
    <cellStyle name="Normal 31 2 2 2 4 6" xfId="1803" xr:uid="{00000000-0005-0000-0000-00004B150000}"/>
    <cellStyle name="Normal 31 2 2 2 4 6 2" xfId="5663" xr:uid="{00000000-0005-0000-0000-00004C150000}"/>
    <cellStyle name="Normal 31 2 2 2 4 6 3" xfId="10597" xr:uid="{00000000-0005-0000-0000-00004D150000}"/>
    <cellStyle name="Normal 31 2 2 2 4 7" xfId="3030" xr:uid="{00000000-0005-0000-0000-00004E150000}"/>
    <cellStyle name="Normal 31 2 2 2 4 7 2" xfId="6887" xr:uid="{00000000-0005-0000-0000-00004F150000}"/>
    <cellStyle name="Normal 31 2 2 2 4 7 3" xfId="11803" xr:uid="{00000000-0005-0000-0000-000050150000}"/>
    <cellStyle name="Normal 31 2 2 2 4 8" xfId="4439" xr:uid="{00000000-0005-0000-0000-000051150000}"/>
    <cellStyle name="Normal 31 2 2 2 4 8 2" xfId="9355" xr:uid="{00000000-0005-0000-0000-000052150000}"/>
    <cellStyle name="Normal 31 2 2 2 4 9" xfId="8112" xr:uid="{00000000-0005-0000-0000-000053150000}"/>
    <cellStyle name="Normal 31 2 2 2 5" xfId="693" xr:uid="{00000000-0005-0000-0000-000054150000}"/>
    <cellStyle name="Normal 31 2 2 2 5 2" xfId="1043" xr:uid="{00000000-0005-0000-0000-000055150000}"/>
    <cellStyle name="Normal 31 2 2 2 5 2 2" xfId="1657" xr:uid="{00000000-0005-0000-0000-000056150000}"/>
    <cellStyle name="Normal 31 2 2 2 5 2 2 2" xfId="2883" xr:uid="{00000000-0005-0000-0000-000057150000}"/>
    <cellStyle name="Normal 31 2 2 2 5 2 2 2 2" xfId="6743" xr:uid="{00000000-0005-0000-0000-000058150000}"/>
    <cellStyle name="Normal 31 2 2 2 5 2 2 2 3" xfId="11695" xr:uid="{00000000-0005-0000-0000-000059150000}"/>
    <cellStyle name="Normal 31 2 2 2 5 2 2 3" xfId="4111" xr:uid="{00000000-0005-0000-0000-00005A150000}"/>
    <cellStyle name="Normal 31 2 2 2 5 2 2 3 2" xfId="7967" xr:uid="{00000000-0005-0000-0000-00005B150000}"/>
    <cellStyle name="Normal 31 2 2 2 5 2 2 3 3" xfId="10453" xr:uid="{00000000-0005-0000-0000-00005C150000}"/>
    <cellStyle name="Normal 31 2 2 2 5 2 2 4" xfId="5519" xr:uid="{00000000-0005-0000-0000-00005D150000}"/>
    <cellStyle name="Normal 31 2 2 2 5 2 2 5" xfId="9211" xr:uid="{00000000-0005-0000-0000-00005E150000}"/>
    <cellStyle name="Normal 31 2 2 2 5 2 3" xfId="2271" xr:uid="{00000000-0005-0000-0000-00005F150000}"/>
    <cellStyle name="Normal 31 2 2 2 5 2 3 2" xfId="6131" xr:uid="{00000000-0005-0000-0000-000060150000}"/>
    <cellStyle name="Normal 31 2 2 2 5 2 3 3" xfId="11047" xr:uid="{00000000-0005-0000-0000-000061150000}"/>
    <cellStyle name="Normal 31 2 2 2 5 2 4" xfId="3499" xr:uid="{00000000-0005-0000-0000-000062150000}"/>
    <cellStyle name="Normal 31 2 2 2 5 2 4 2" xfId="7355" xr:uid="{00000000-0005-0000-0000-000063150000}"/>
    <cellStyle name="Normal 31 2 2 2 5 2 4 3" xfId="9805" xr:uid="{00000000-0005-0000-0000-000064150000}"/>
    <cellStyle name="Normal 31 2 2 2 5 2 5" xfId="4907" xr:uid="{00000000-0005-0000-0000-000065150000}"/>
    <cellStyle name="Normal 31 2 2 2 5 2 6" xfId="8562" xr:uid="{00000000-0005-0000-0000-000066150000}"/>
    <cellStyle name="Normal 31 2 2 2 5 3" xfId="1351" xr:uid="{00000000-0005-0000-0000-000067150000}"/>
    <cellStyle name="Normal 31 2 2 2 5 3 2" xfId="2577" xr:uid="{00000000-0005-0000-0000-000068150000}"/>
    <cellStyle name="Normal 31 2 2 2 5 3 2 2" xfId="6437" xr:uid="{00000000-0005-0000-0000-000069150000}"/>
    <cellStyle name="Normal 31 2 2 2 5 3 2 3" xfId="11389" xr:uid="{00000000-0005-0000-0000-00006A150000}"/>
    <cellStyle name="Normal 31 2 2 2 5 3 3" xfId="3805" xr:uid="{00000000-0005-0000-0000-00006B150000}"/>
    <cellStyle name="Normal 31 2 2 2 5 3 3 2" xfId="7661" xr:uid="{00000000-0005-0000-0000-00006C150000}"/>
    <cellStyle name="Normal 31 2 2 2 5 3 3 3" xfId="10147" xr:uid="{00000000-0005-0000-0000-00006D150000}"/>
    <cellStyle name="Normal 31 2 2 2 5 3 4" xfId="5213" xr:uid="{00000000-0005-0000-0000-00006E150000}"/>
    <cellStyle name="Normal 31 2 2 2 5 3 5" xfId="8905" xr:uid="{00000000-0005-0000-0000-00006F150000}"/>
    <cellStyle name="Normal 31 2 2 2 5 4" xfId="1965" xr:uid="{00000000-0005-0000-0000-000070150000}"/>
    <cellStyle name="Normal 31 2 2 2 5 4 2" xfId="5825" xr:uid="{00000000-0005-0000-0000-000071150000}"/>
    <cellStyle name="Normal 31 2 2 2 5 4 3" xfId="10759" xr:uid="{00000000-0005-0000-0000-000072150000}"/>
    <cellStyle name="Normal 31 2 2 2 5 5" xfId="3192" xr:uid="{00000000-0005-0000-0000-000073150000}"/>
    <cellStyle name="Normal 31 2 2 2 5 5 2" xfId="7049" xr:uid="{00000000-0005-0000-0000-000074150000}"/>
    <cellStyle name="Normal 31 2 2 2 5 5 3" xfId="11965" xr:uid="{00000000-0005-0000-0000-000075150000}"/>
    <cellStyle name="Normal 31 2 2 2 5 6" xfId="4601" xr:uid="{00000000-0005-0000-0000-000076150000}"/>
    <cellStyle name="Normal 31 2 2 2 5 6 2" xfId="9517" xr:uid="{00000000-0005-0000-0000-000077150000}"/>
    <cellStyle name="Normal 31 2 2 2 5 7" xfId="8274" xr:uid="{00000000-0005-0000-0000-000078150000}"/>
    <cellStyle name="Normal 31 2 2 2 6" xfId="603" xr:uid="{00000000-0005-0000-0000-000079150000}"/>
    <cellStyle name="Normal 31 2 2 2 6 2" xfId="953" xr:uid="{00000000-0005-0000-0000-00007A150000}"/>
    <cellStyle name="Normal 31 2 2 2 6 2 2" xfId="1567" xr:uid="{00000000-0005-0000-0000-00007B150000}"/>
    <cellStyle name="Normal 31 2 2 2 6 2 2 2" xfId="2793" xr:uid="{00000000-0005-0000-0000-00007C150000}"/>
    <cellStyle name="Normal 31 2 2 2 6 2 2 2 2" xfId="6653" xr:uid="{00000000-0005-0000-0000-00007D150000}"/>
    <cellStyle name="Normal 31 2 2 2 6 2 2 2 3" xfId="11605" xr:uid="{00000000-0005-0000-0000-00007E150000}"/>
    <cellStyle name="Normal 31 2 2 2 6 2 2 3" xfId="4021" xr:uid="{00000000-0005-0000-0000-00007F150000}"/>
    <cellStyle name="Normal 31 2 2 2 6 2 2 3 2" xfId="7877" xr:uid="{00000000-0005-0000-0000-000080150000}"/>
    <cellStyle name="Normal 31 2 2 2 6 2 2 3 3" xfId="10363" xr:uid="{00000000-0005-0000-0000-000081150000}"/>
    <cellStyle name="Normal 31 2 2 2 6 2 2 4" xfId="5429" xr:uid="{00000000-0005-0000-0000-000082150000}"/>
    <cellStyle name="Normal 31 2 2 2 6 2 2 5" xfId="9121" xr:uid="{00000000-0005-0000-0000-000083150000}"/>
    <cellStyle name="Normal 31 2 2 2 6 2 3" xfId="2181" xr:uid="{00000000-0005-0000-0000-000084150000}"/>
    <cellStyle name="Normal 31 2 2 2 6 2 3 2" xfId="6041" xr:uid="{00000000-0005-0000-0000-000085150000}"/>
    <cellStyle name="Normal 31 2 2 2 6 2 3 3" xfId="10957" xr:uid="{00000000-0005-0000-0000-000086150000}"/>
    <cellStyle name="Normal 31 2 2 2 6 2 4" xfId="3409" xr:uid="{00000000-0005-0000-0000-000087150000}"/>
    <cellStyle name="Normal 31 2 2 2 6 2 4 2" xfId="7265" xr:uid="{00000000-0005-0000-0000-000088150000}"/>
    <cellStyle name="Normal 31 2 2 2 6 2 4 3" xfId="9715" xr:uid="{00000000-0005-0000-0000-000089150000}"/>
    <cellStyle name="Normal 31 2 2 2 6 2 5" xfId="4817" xr:uid="{00000000-0005-0000-0000-00008A150000}"/>
    <cellStyle name="Normal 31 2 2 2 6 2 6" xfId="8472" xr:uid="{00000000-0005-0000-0000-00008B150000}"/>
    <cellStyle name="Normal 31 2 2 2 6 3" xfId="1261" xr:uid="{00000000-0005-0000-0000-00008C150000}"/>
    <cellStyle name="Normal 31 2 2 2 6 3 2" xfId="2487" xr:uid="{00000000-0005-0000-0000-00008D150000}"/>
    <cellStyle name="Normal 31 2 2 2 6 3 2 2" xfId="6347" xr:uid="{00000000-0005-0000-0000-00008E150000}"/>
    <cellStyle name="Normal 31 2 2 2 6 3 2 3" xfId="11299" xr:uid="{00000000-0005-0000-0000-00008F150000}"/>
    <cellStyle name="Normal 31 2 2 2 6 3 3" xfId="3715" xr:uid="{00000000-0005-0000-0000-000090150000}"/>
    <cellStyle name="Normal 31 2 2 2 6 3 3 2" xfId="7571" xr:uid="{00000000-0005-0000-0000-000091150000}"/>
    <cellStyle name="Normal 31 2 2 2 6 3 3 3" xfId="10057" xr:uid="{00000000-0005-0000-0000-000092150000}"/>
    <cellStyle name="Normal 31 2 2 2 6 3 4" xfId="5123" xr:uid="{00000000-0005-0000-0000-000093150000}"/>
    <cellStyle name="Normal 31 2 2 2 6 3 5" xfId="8815" xr:uid="{00000000-0005-0000-0000-000094150000}"/>
    <cellStyle name="Normal 31 2 2 2 6 4" xfId="1875" xr:uid="{00000000-0005-0000-0000-000095150000}"/>
    <cellStyle name="Normal 31 2 2 2 6 4 2" xfId="5735" xr:uid="{00000000-0005-0000-0000-000096150000}"/>
    <cellStyle name="Normal 31 2 2 2 6 4 3" xfId="10669" xr:uid="{00000000-0005-0000-0000-000097150000}"/>
    <cellStyle name="Normal 31 2 2 2 6 5" xfId="3102" xr:uid="{00000000-0005-0000-0000-000098150000}"/>
    <cellStyle name="Normal 31 2 2 2 6 5 2" xfId="6959" xr:uid="{00000000-0005-0000-0000-000099150000}"/>
    <cellStyle name="Normal 31 2 2 2 6 5 3" xfId="11875" xr:uid="{00000000-0005-0000-0000-00009A150000}"/>
    <cellStyle name="Normal 31 2 2 2 6 6" xfId="4511" xr:uid="{00000000-0005-0000-0000-00009B150000}"/>
    <cellStyle name="Normal 31 2 2 2 6 6 2" xfId="9427" xr:uid="{00000000-0005-0000-0000-00009C150000}"/>
    <cellStyle name="Normal 31 2 2 2 6 7" xfId="8184" xr:uid="{00000000-0005-0000-0000-00009D150000}"/>
    <cellStyle name="Normal 31 2 2 2 7" xfId="489" xr:uid="{00000000-0005-0000-0000-00009E150000}"/>
    <cellStyle name="Normal 31 2 2 2 7 2" xfId="839" xr:uid="{00000000-0005-0000-0000-00009F150000}"/>
    <cellStyle name="Normal 31 2 2 2 7 2 2" xfId="1477" xr:uid="{00000000-0005-0000-0000-0000A0150000}"/>
    <cellStyle name="Normal 31 2 2 2 7 2 2 2" xfId="2703" xr:uid="{00000000-0005-0000-0000-0000A1150000}"/>
    <cellStyle name="Normal 31 2 2 2 7 2 2 2 2" xfId="6563" xr:uid="{00000000-0005-0000-0000-0000A2150000}"/>
    <cellStyle name="Normal 31 2 2 2 7 2 2 2 3" xfId="11515" xr:uid="{00000000-0005-0000-0000-0000A3150000}"/>
    <cellStyle name="Normal 31 2 2 2 7 2 2 3" xfId="3931" xr:uid="{00000000-0005-0000-0000-0000A4150000}"/>
    <cellStyle name="Normal 31 2 2 2 7 2 2 3 2" xfId="7787" xr:uid="{00000000-0005-0000-0000-0000A5150000}"/>
    <cellStyle name="Normal 31 2 2 2 7 2 2 3 3" xfId="10273" xr:uid="{00000000-0005-0000-0000-0000A6150000}"/>
    <cellStyle name="Normal 31 2 2 2 7 2 2 4" xfId="5339" xr:uid="{00000000-0005-0000-0000-0000A7150000}"/>
    <cellStyle name="Normal 31 2 2 2 7 2 2 5" xfId="9031" xr:uid="{00000000-0005-0000-0000-0000A8150000}"/>
    <cellStyle name="Normal 31 2 2 2 7 2 3" xfId="2091" xr:uid="{00000000-0005-0000-0000-0000A9150000}"/>
    <cellStyle name="Normal 31 2 2 2 7 2 3 2" xfId="5951" xr:uid="{00000000-0005-0000-0000-0000AA150000}"/>
    <cellStyle name="Normal 31 2 2 2 7 2 3 3" xfId="10867" xr:uid="{00000000-0005-0000-0000-0000AB150000}"/>
    <cellStyle name="Normal 31 2 2 2 7 2 4" xfId="3319" xr:uid="{00000000-0005-0000-0000-0000AC150000}"/>
    <cellStyle name="Normal 31 2 2 2 7 2 4 2" xfId="7175" xr:uid="{00000000-0005-0000-0000-0000AD150000}"/>
    <cellStyle name="Normal 31 2 2 2 7 2 4 3" xfId="9625" xr:uid="{00000000-0005-0000-0000-0000AE150000}"/>
    <cellStyle name="Normal 31 2 2 2 7 2 5" xfId="4727" xr:uid="{00000000-0005-0000-0000-0000AF150000}"/>
    <cellStyle name="Normal 31 2 2 2 7 2 6" xfId="8382" xr:uid="{00000000-0005-0000-0000-0000B0150000}"/>
    <cellStyle name="Normal 31 2 2 2 7 3" xfId="1171" xr:uid="{00000000-0005-0000-0000-0000B1150000}"/>
    <cellStyle name="Normal 31 2 2 2 7 3 2" xfId="2397" xr:uid="{00000000-0005-0000-0000-0000B2150000}"/>
    <cellStyle name="Normal 31 2 2 2 7 3 2 2" xfId="6257" xr:uid="{00000000-0005-0000-0000-0000B3150000}"/>
    <cellStyle name="Normal 31 2 2 2 7 3 2 3" xfId="11209" xr:uid="{00000000-0005-0000-0000-0000B4150000}"/>
    <cellStyle name="Normal 31 2 2 2 7 3 3" xfId="3625" xr:uid="{00000000-0005-0000-0000-0000B5150000}"/>
    <cellStyle name="Normal 31 2 2 2 7 3 3 2" xfId="7481" xr:uid="{00000000-0005-0000-0000-0000B6150000}"/>
    <cellStyle name="Normal 31 2 2 2 7 3 3 3" xfId="9967" xr:uid="{00000000-0005-0000-0000-0000B7150000}"/>
    <cellStyle name="Normal 31 2 2 2 7 3 4" xfId="5033" xr:uid="{00000000-0005-0000-0000-0000B8150000}"/>
    <cellStyle name="Normal 31 2 2 2 7 3 5" xfId="8725" xr:uid="{00000000-0005-0000-0000-0000B9150000}"/>
    <cellStyle name="Normal 31 2 2 2 7 4" xfId="1785" xr:uid="{00000000-0005-0000-0000-0000BA150000}"/>
    <cellStyle name="Normal 31 2 2 2 7 4 2" xfId="5645" xr:uid="{00000000-0005-0000-0000-0000BB150000}"/>
    <cellStyle name="Normal 31 2 2 2 7 4 3" xfId="10579" xr:uid="{00000000-0005-0000-0000-0000BC150000}"/>
    <cellStyle name="Normal 31 2 2 2 7 5" xfId="3012" xr:uid="{00000000-0005-0000-0000-0000BD150000}"/>
    <cellStyle name="Normal 31 2 2 2 7 5 2" xfId="6869" xr:uid="{00000000-0005-0000-0000-0000BE150000}"/>
    <cellStyle name="Normal 31 2 2 2 7 5 3" xfId="12055" xr:uid="{00000000-0005-0000-0000-0000BF150000}"/>
    <cellStyle name="Normal 31 2 2 2 7 6" xfId="4421" xr:uid="{00000000-0005-0000-0000-0000C0150000}"/>
    <cellStyle name="Normal 31 2 2 2 7 6 2" xfId="9337" xr:uid="{00000000-0005-0000-0000-0000C1150000}"/>
    <cellStyle name="Normal 31 2 2 2 7 7" xfId="8094" xr:uid="{00000000-0005-0000-0000-0000C2150000}"/>
    <cellStyle name="Normal 31 2 2 2 8" xfId="801" xr:uid="{00000000-0005-0000-0000-0000C3150000}"/>
    <cellStyle name="Normal 31 2 2 2 8 2" xfId="1441" xr:uid="{00000000-0005-0000-0000-0000C4150000}"/>
    <cellStyle name="Normal 31 2 2 2 8 2 2" xfId="2667" xr:uid="{00000000-0005-0000-0000-0000C5150000}"/>
    <cellStyle name="Normal 31 2 2 2 8 2 2 2" xfId="6527" xr:uid="{00000000-0005-0000-0000-0000C6150000}"/>
    <cellStyle name="Normal 31 2 2 2 8 2 2 3" xfId="11479" xr:uid="{00000000-0005-0000-0000-0000C7150000}"/>
    <cellStyle name="Normal 31 2 2 2 8 2 3" xfId="3895" xr:uid="{00000000-0005-0000-0000-0000C8150000}"/>
    <cellStyle name="Normal 31 2 2 2 8 2 3 2" xfId="7751" xr:uid="{00000000-0005-0000-0000-0000C9150000}"/>
    <cellStyle name="Normal 31 2 2 2 8 2 3 3" xfId="10237" xr:uid="{00000000-0005-0000-0000-0000CA150000}"/>
    <cellStyle name="Normal 31 2 2 2 8 2 4" xfId="5303" xr:uid="{00000000-0005-0000-0000-0000CB150000}"/>
    <cellStyle name="Normal 31 2 2 2 8 2 5" xfId="8995" xr:uid="{00000000-0005-0000-0000-0000CC150000}"/>
    <cellStyle name="Normal 31 2 2 2 8 3" xfId="2055" xr:uid="{00000000-0005-0000-0000-0000CD150000}"/>
    <cellStyle name="Normal 31 2 2 2 8 3 2" xfId="5915" xr:uid="{00000000-0005-0000-0000-0000CE150000}"/>
    <cellStyle name="Normal 31 2 2 2 8 3 3" xfId="10849" xr:uid="{00000000-0005-0000-0000-0000CF150000}"/>
    <cellStyle name="Normal 31 2 2 2 8 4" xfId="3283" xr:uid="{00000000-0005-0000-0000-0000D0150000}"/>
    <cellStyle name="Normal 31 2 2 2 8 4 2" xfId="7139" xr:uid="{00000000-0005-0000-0000-0000D1150000}"/>
    <cellStyle name="Normal 31 2 2 2 8 4 3" xfId="9607" xr:uid="{00000000-0005-0000-0000-0000D2150000}"/>
    <cellStyle name="Normal 31 2 2 2 8 5" xfId="4691" xr:uid="{00000000-0005-0000-0000-0000D3150000}"/>
    <cellStyle name="Normal 31 2 2 2 8 6" xfId="8364" xr:uid="{00000000-0005-0000-0000-0000D4150000}"/>
    <cellStyle name="Normal 31 2 2 2 9" xfId="1135" xr:uid="{00000000-0005-0000-0000-0000D5150000}"/>
    <cellStyle name="Normal 31 2 2 2 9 2" xfId="2361" xr:uid="{00000000-0005-0000-0000-0000D6150000}"/>
    <cellStyle name="Normal 31 2 2 2 9 2 2" xfId="6221" xr:uid="{00000000-0005-0000-0000-0000D7150000}"/>
    <cellStyle name="Normal 31 2 2 2 9 2 3" xfId="11173" xr:uid="{00000000-0005-0000-0000-0000D8150000}"/>
    <cellStyle name="Normal 31 2 2 2 9 3" xfId="3589" xr:uid="{00000000-0005-0000-0000-0000D9150000}"/>
    <cellStyle name="Normal 31 2 2 2 9 3 2" xfId="7445" xr:uid="{00000000-0005-0000-0000-0000DA150000}"/>
    <cellStyle name="Normal 31 2 2 2 9 3 3" xfId="9931" xr:uid="{00000000-0005-0000-0000-0000DB150000}"/>
    <cellStyle name="Normal 31 2 2 2 9 4" xfId="4997" xr:uid="{00000000-0005-0000-0000-0000DC150000}"/>
    <cellStyle name="Normal 31 2 2 2 9 5" xfId="8689" xr:uid="{00000000-0005-0000-0000-0000DD150000}"/>
    <cellStyle name="Normal 31 2 2 3" xfId="470" xr:uid="{00000000-0005-0000-0000-0000DE150000}"/>
    <cellStyle name="Normal 31 2 2 3 10" xfId="4402" xr:uid="{00000000-0005-0000-0000-0000DF150000}"/>
    <cellStyle name="Normal 31 2 2 3 10 2" xfId="9318" xr:uid="{00000000-0005-0000-0000-0000E0150000}"/>
    <cellStyle name="Normal 31 2 2 3 11" xfId="8075" xr:uid="{00000000-0005-0000-0000-0000E1150000}"/>
    <cellStyle name="Normal 31 2 2 3 2" xfId="583" xr:uid="{00000000-0005-0000-0000-0000E2150000}"/>
    <cellStyle name="Normal 31 2 2 3 2 2" xfId="764" xr:uid="{00000000-0005-0000-0000-0000E3150000}"/>
    <cellStyle name="Normal 31 2 2 3 2 2 2" xfId="1114" xr:uid="{00000000-0005-0000-0000-0000E4150000}"/>
    <cellStyle name="Normal 31 2 2 3 2 2 2 2" xfId="1728" xr:uid="{00000000-0005-0000-0000-0000E5150000}"/>
    <cellStyle name="Normal 31 2 2 3 2 2 2 2 2" xfId="2954" xr:uid="{00000000-0005-0000-0000-0000E6150000}"/>
    <cellStyle name="Normal 31 2 2 3 2 2 2 2 2 2" xfId="6814" xr:uid="{00000000-0005-0000-0000-0000E7150000}"/>
    <cellStyle name="Normal 31 2 2 3 2 2 2 2 2 3" xfId="11766" xr:uid="{00000000-0005-0000-0000-0000E8150000}"/>
    <cellStyle name="Normal 31 2 2 3 2 2 2 2 3" xfId="4182" xr:uid="{00000000-0005-0000-0000-0000E9150000}"/>
    <cellStyle name="Normal 31 2 2 3 2 2 2 2 3 2" xfId="8038" xr:uid="{00000000-0005-0000-0000-0000EA150000}"/>
    <cellStyle name="Normal 31 2 2 3 2 2 2 2 3 3" xfId="10524" xr:uid="{00000000-0005-0000-0000-0000EB150000}"/>
    <cellStyle name="Normal 31 2 2 3 2 2 2 2 4" xfId="5590" xr:uid="{00000000-0005-0000-0000-0000EC150000}"/>
    <cellStyle name="Normal 31 2 2 3 2 2 2 2 5" xfId="9282" xr:uid="{00000000-0005-0000-0000-0000ED150000}"/>
    <cellStyle name="Normal 31 2 2 3 2 2 2 3" xfId="2342" xr:uid="{00000000-0005-0000-0000-0000EE150000}"/>
    <cellStyle name="Normal 31 2 2 3 2 2 2 3 2" xfId="6202" xr:uid="{00000000-0005-0000-0000-0000EF150000}"/>
    <cellStyle name="Normal 31 2 2 3 2 2 2 3 3" xfId="11118" xr:uid="{00000000-0005-0000-0000-0000F0150000}"/>
    <cellStyle name="Normal 31 2 2 3 2 2 2 4" xfId="3570" xr:uid="{00000000-0005-0000-0000-0000F1150000}"/>
    <cellStyle name="Normal 31 2 2 3 2 2 2 4 2" xfId="7426" xr:uid="{00000000-0005-0000-0000-0000F2150000}"/>
    <cellStyle name="Normal 31 2 2 3 2 2 2 4 3" xfId="9876" xr:uid="{00000000-0005-0000-0000-0000F3150000}"/>
    <cellStyle name="Normal 31 2 2 3 2 2 2 5" xfId="4978" xr:uid="{00000000-0005-0000-0000-0000F4150000}"/>
    <cellStyle name="Normal 31 2 2 3 2 2 2 6" xfId="8633" xr:uid="{00000000-0005-0000-0000-0000F5150000}"/>
    <cellStyle name="Normal 31 2 2 3 2 2 3" xfId="1422" xr:uid="{00000000-0005-0000-0000-0000F6150000}"/>
    <cellStyle name="Normal 31 2 2 3 2 2 3 2" xfId="2648" xr:uid="{00000000-0005-0000-0000-0000F7150000}"/>
    <cellStyle name="Normal 31 2 2 3 2 2 3 2 2" xfId="6508" xr:uid="{00000000-0005-0000-0000-0000F8150000}"/>
    <cellStyle name="Normal 31 2 2 3 2 2 3 2 3" xfId="11460" xr:uid="{00000000-0005-0000-0000-0000F9150000}"/>
    <cellStyle name="Normal 31 2 2 3 2 2 3 3" xfId="3876" xr:uid="{00000000-0005-0000-0000-0000FA150000}"/>
    <cellStyle name="Normal 31 2 2 3 2 2 3 3 2" xfId="7732" xr:uid="{00000000-0005-0000-0000-0000FB150000}"/>
    <cellStyle name="Normal 31 2 2 3 2 2 3 3 3" xfId="10218" xr:uid="{00000000-0005-0000-0000-0000FC150000}"/>
    <cellStyle name="Normal 31 2 2 3 2 2 3 4" xfId="5284" xr:uid="{00000000-0005-0000-0000-0000FD150000}"/>
    <cellStyle name="Normal 31 2 2 3 2 2 3 5" xfId="8976" xr:uid="{00000000-0005-0000-0000-0000FE150000}"/>
    <cellStyle name="Normal 31 2 2 3 2 2 4" xfId="2036" xr:uid="{00000000-0005-0000-0000-0000FF150000}"/>
    <cellStyle name="Normal 31 2 2 3 2 2 4 2" xfId="5896" xr:uid="{00000000-0005-0000-0000-000000160000}"/>
    <cellStyle name="Normal 31 2 2 3 2 2 4 3" xfId="10830" xr:uid="{00000000-0005-0000-0000-000001160000}"/>
    <cellStyle name="Normal 31 2 2 3 2 2 5" xfId="3263" xr:uid="{00000000-0005-0000-0000-000002160000}"/>
    <cellStyle name="Normal 31 2 2 3 2 2 5 2" xfId="7120" xr:uid="{00000000-0005-0000-0000-000003160000}"/>
    <cellStyle name="Normal 31 2 2 3 2 2 5 3" xfId="12036" xr:uid="{00000000-0005-0000-0000-000004160000}"/>
    <cellStyle name="Normal 31 2 2 3 2 2 6" xfId="4672" xr:uid="{00000000-0005-0000-0000-000005160000}"/>
    <cellStyle name="Normal 31 2 2 3 2 2 6 2" xfId="9588" xr:uid="{00000000-0005-0000-0000-000006160000}"/>
    <cellStyle name="Normal 31 2 2 3 2 2 7" xfId="8345" xr:uid="{00000000-0005-0000-0000-000007160000}"/>
    <cellStyle name="Normal 31 2 2 3 2 3" xfId="674" xr:uid="{00000000-0005-0000-0000-000008160000}"/>
    <cellStyle name="Normal 31 2 2 3 2 3 2" xfId="1024" xr:uid="{00000000-0005-0000-0000-000009160000}"/>
    <cellStyle name="Normal 31 2 2 3 2 3 2 2" xfId="1638" xr:uid="{00000000-0005-0000-0000-00000A160000}"/>
    <cellStyle name="Normal 31 2 2 3 2 3 2 2 2" xfId="2864" xr:uid="{00000000-0005-0000-0000-00000B160000}"/>
    <cellStyle name="Normal 31 2 2 3 2 3 2 2 2 2" xfId="6724" xr:uid="{00000000-0005-0000-0000-00000C160000}"/>
    <cellStyle name="Normal 31 2 2 3 2 3 2 2 2 3" xfId="11676" xr:uid="{00000000-0005-0000-0000-00000D160000}"/>
    <cellStyle name="Normal 31 2 2 3 2 3 2 2 3" xfId="4092" xr:uid="{00000000-0005-0000-0000-00000E160000}"/>
    <cellStyle name="Normal 31 2 2 3 2 3 2 2 3 2" xfId="7948" xr:uid="{00000000-0005-0000-0000-00000F160000}"/>
    <cellStyle name="Normal 31 2 2 3 2 3 2 2 3 3" xfId="10434" xr:uid="{00000000-0005-0000-0000-000010160000}"/>
    <cellStyle name="Normal 31 2 2 3 2 3 2 2 4" xfId="5500" xr:uid="{00000000-0005-0000-0000-000011160000}"/>
    <cellStyle name="Normal 31 2 2 3 2 3 2 2 5" xfId="9192" xr:uid="{00000000-0005-0000-0000-000012160000}"/>
    <cellStyle name="Normal 31 2 2 3 2 3 2 3" xfId="2252" xr:uid="{00000000-0005-0000-0000-000013160000}"/>
    <cellStyle name="Normal 31 2 2 3 2 3 2 3 2" xfId="6112" xr:uid="{00000000-0005-0000-0000-000014160000}"/>
    <cellStyle name="Normal 31 2 2 3 2 3 2 3 3" xfId="11028" xr:uid="{00000000-0005-0000-0000-000015160000}"/>
    <cellStyle name="Normal 31 2 2 3 2 3 2 4" xfId="3480" xr:uid="{00000000-0005-0000-0000-000016160000}"/>
    <cellStyle name="Normal 31 2 2 3 2 3 2 4 2" xfId="7336" xr:uid="{00000000-0005-0000-0000-000017160000}"/>
    <cellStyle name="Normal 31 2 2 3 2 3 2 4 3" xfId="9786" xr:uid="{00000000-0005-0000-0000-000018160000}"/>
    <cellStyle name="Normal 31 2 2 3 2 3 2 5" xfId="4888" xr:uid="{00000000-0005-0000-0000-000019160000}"/>
    <cellStyle name="Normal 31 2 2 3 2 3 2 6" xfId="8543" xr:uid="{00000000-0005-0000-0000-00001A160000}"/>
    <cellStyle name="Normal 31 2 2 3 2 3 3" xfId="1332" xr:uid="{00000000-0005-0000-0000-00001B160000}"/>
    <cellStyle name="Normal 31 2 2 3 2 3 3 2" xfId="2558" xr:uid="{00000000-0005-0000-0000-00001C160000}"/>
    <cellStyle name="Normal 31 2 2 3 2 3 3 2 2" xfId="6418" xr:uid="{00000000-0005-0000-0000-00001D160000}"/>
    <cellStyle name="Normal 31 2 2 3 2 3 3 2 3" xfId="11370" xr:uid="{00000000-0005-0000-0000-00001E160000}"/>
    <cellStyle name="Normal 31 2 2 3 2 3 3 3" xfId="3786" xr:uid="{00000000-0005-0000-0000-00001F160000}"/>
    <cellStyle name="Normal 31 2 2 3 2 3 3 3 2" xfId="7642" xr:uid="{00000000-0005-0000-0000-000020160000}"/>
    <cellStyle name="Normal 31 2 2 3 2 3 3 3 3" xfId="10128" xr:uid="{00000000-0005-0000-0000-000021160000}"/>
    <cellStyle name="Normal 31 2 2 3 2 3 3 4" xfId="5194" xr:uid="{00000000-0005-0000-0000-000022160000}"/>
    <cellStyle name="Normal 31 2 2 3 2 3 3 5" xfId="8886" xr:uid="{00000000-0005-0000-0000-000023160000}"/>
    <cellStyle name="Normal 31 2 2 3 2 3 4" xfId="1946" xr:uid="{00000000-0005-0000-0000-000024160000}"/>
    <cellStyle name="Normal 31 2 2 3 2 3 4 2" xfId="5806" xr:uid="{00000000-0005-0000-0000-000025160000}"/>
    <cellStyle name="Normal 31 2 2 3 2 3 4 3" xfId="10740" xr:uid="{00000000-0005-0000-0000-000026160000}"/>
    <cellStyle name="Normal 31 2 2 3 2 3 5" xfId="3173" xr:uid="{00000000-0005-0000-0000-000027160000}"/>
    <cellStyle name="Normal 31 2 2 3 2 3 5 2" xfId="7030" xr:uid="{00000000-0005-0000-0000-000028160000}"/>
    <cellStyle name="Normal 31 2 2 3 2 3 5 3" xfId="11946" xr:uid="{00000000-0005-0000-0000-000029160000}"/>
    <cellStyle name="Normal 31 2 2 3 2 3 6" xfId="4582" xr:uid="{00000000-0005-0000-0000-00002A160000}"/>
    <cellStyle name="Normal 31 2 2 3 2 3 6 2" xfId="9498" xr:uid="{00000000-0005-0000-0000-00002B160000}"/>
    <cellStyle name="Normal 31 2 2 3 2 3 7" xfId="8255" xr:uid="{00000000-0005-0000-0000-00002C160000}"/>
    <cellStyle name="Normal 31 2 2 3 2 4" xfId="933" xr:uid="{00000000-0005-0000-0000-00002D160000}"/>
    <cellStyle name="Normal 31 2 2 3 2 4 2" xfId="1548" xr:uid="{00000000-0005-0000-0000-00002E160000}"/>
    <cellStyle name="Normal 31 2 2 3 2 4 2 2" xfId="2774" xr:uid="{00000000-0005-0000-0000-00002F160000}"/>
    <cellStyle name="Normal 31 2 2 3 2 4 2 2 2" xfId="6634" xr:uid="{00000000-0005-0000-0000-000030160000}"/>
    <cellStyle name="Normal 31 2 2 3 2 4 2 2 3" xfId="11586" xr:uid="{00000000-0005-0000-0000-000031160000}"/>
    <cellStyle name="Normal 31 2 2 3 2 4 2 3" xfId="4002" xr:uid="{00000000-0005-0000-0000-000032160000}"/>
    <cellStyle name="Normal 31 2 2 3 2 4 2 3 2" xfId="7858" xr:uid="{00000000-0005-0000-0000-000033160000}"/>
    <cellStyle name="Normal 31 2 2 3 2 4 2 3 3" xfId="10344" xr:uid="{00000000-0005-0000-0000-000034160000}"/>
    <cellStyle name="Normal 31 2 2 3 2 4 2 4" xfId="5410" xr:uid="{00000000-0005-0000-0000-000035160000}"/>
    <cellStyle name="Normal 31 2 2 3 2 4 2 5" xfId="9102" xr:uid="{00000000-0005-0000-0000-000036160000}"/>
    <cellStyle name="Normal 31 2 2 3 2 4 3" xfId="2162" xr:uid="{00000000-0005-0000-0000-000037160000}"/>
    <cellStyle name="Normal 31 2 2 3 2 4 3 2" xfId="6022" xr:uid="{00000000-0005-0000-0000-000038160000}"/>
    <cellStyle name="Normal 31 2 2 3 2 4 3 3" xfId="10938" xr:uid="{00000000-0005-0000-0000-000039160000}"/>
    <cellStyle name="Normal 31 2 2 3 2 4 4" xfId="3390" xr:uid="{00000000-0005-0000-0000-00003A160000}"/>
    <cellStyle name="Normal 31 2 2 3 2 4 4 2" xfId="7246" xr:uid="{00000000-0005-0000-0000-00003B160000}"/>
    <cellStyle name="Normal 31 2 2 3 2 4 4 3" xfId="9696" xr:uid="{00000000-0005-0000-0000-00003C160000}"/>
    <cellStyle name="Normal 31 2 2 3 2 4 5" xfId="4798" xr:uid="{00000000-0005-0000-0000-00003D160000}"/>
    <cellStyle name="Normal 31 2 2 3 2 4 6" xfId="8453" xr:uid="{00000000-0005-0000-0000-00003E160000}"/>
    <cellStyle name="Normal 31 2 2 3 2 5" xfId="1242" xr:uid="{00000000-0005-0000-0000-00003F160000}"/>
    <cellStyle name="Normal 31 2 2 3 2 5 2" xfId="2468" xr:uid="{00000000-0005-0000-0000-000040160000}"/>
    <cellStyle name="Normal 31 2 2 3 2 5 2 2" xfId="6328" xr:uid="{00000000-0005-0000-0000-000041160000}"/>
    <cellStyle name="Normal 31 2 2 3 2 5 2 3" xfId="11280" xr:uid="{00000000-0005-0000-0000-000042160000}"/>
    <cellStyle name="Normal 31 2 2 3 2 5 3" xfId="3696" xr:uid="{00000000-0005-0000-0000-000043160000}"/>
    <cellStyle name="Normal 31 2 2 3 2 5 3 2" xfId="7552" xr:uid="{00000000-0005-0000-0000-000044160000}"/>
    <cellStyle name="Normal 31 2 2 3 2 5 3 3" xfId="10038" xr:uid="{00000000-0005-0000-0000-000045160000}"/>
    <cellStyle name="Normal 31 2 2 3 2 5 4" xfId="5104" xr:uid="{00000000-0005-0000-0000-000046160000}"/>
    <cellStyle name="Normal 31 2 2 3 2 5 5" xfId="8796" xr:uid="{00000000-0005-0000-0000-000047160000}"/>
    <cellStyle name="Normal 31 2 2 3 2 6" xfId="1856" xr:uid="{00000000-0005-0000-0000-000048160000}"/>
    <cellStyle name="Normal 31 2 2 3 2 6 2" xfId="5716" xr:uid="{00000000-0005-0000-0000-000049160000}"/>
    <cellStyle name="Normal 31 2 2 3 2 6 3" xfId="10650" xr:uid="{00000000-0005-0000-0000-00004A160000}"/>
    <cellStyle name="Normal 31 2 2 3 2 7" xfId="3083" xr:uid="{00000000-0005-0000-0000-00004B160000}"/>
    <cellStyle name="Normal 31 2 2 3 2 7 2" xfId="6940" xr:uid="{00000000-0005-0000-0000-00004C160000}"/>
    <cellStyle name="Normal 31 2 2 3 2 7 3" xfId="11856" xr:uid="{00000000-0005-0000-0000-00004D160000}"/>
    <cellStyle name="Normal 31 2 2 3 2 8" xfId="4492" xr:uid="{00000000-0005-0000-0000-00004E160000}"/>
    <cellStyle name="Normal 31 2 2 3 2 8 2" xfId="9408" xr:uid="{00000000-0005-0000-0000-00004F160000}"/>
    <cellStyle name="Normal 31 2 2 3 2 9" xfId="8165" xr:uid="{00000000-0005-0000-0000-000050160000}"/>
    <cellStyle name="Normal 31 2 2 3 3" xfId="728" xr:uid="{00000000-0005-0000-0000-000051160000}"/>
    <cellStyle name="Normal 31 2 2 3 3 2" xfId="1078" xr:uid="{00000000-0005-0000-0000-000052160000}"/>
    <cellStyle name="Normal 31 2 2 3 3 2 2" xfId="1692" xr:uid="{00000000-0005-0000-0000-000053160000}"/>
    <cellStyle name="Normal 31 2 2 3 3 2 2 2" xfId="2918" xr:uid="{00000000-0005-0000-0000-000054160000}"/>
    <cellStyle name="Normal 31 2 2 3 3 2 2 2 2" xfId="6778" xr:uid="{00000000-0005-0000-0000-000055160000}"/>
    <cellStyle name="Normal 31 2 2 3 3 2 2 2 3" xfId="11730" xr:uid="{00000000-0005-0000-0000-000056160000}"/>
    <cellStyle name="Normal 31 2 2 3 3 2 2 3" xfId="4146" xr:uid="{00000000-0005-0000-0000-000057160000}"/>
    <cellStyle name="Normal 31 2 2 3 3 2 2 3 2" xfId="8002" xr:uid="{00000000-0005-0000-0000-000058160000}"/>
    <cellStyle name="Normal 31 2 2 3 3 2 2 3 3" xfId="10488" xr:uid="{00000000-0005-0000-0000-000059160000}"/>
    <cellStyle name="Normal 31 2 2 3 3 2 2 4" xfId="5554" xr:uid="{00000000-0005-0000-0000-00005A160000}"/>
    <cellStyle name="Normal 31 2 2 3 3 2 2 5" xfId="9246" xr:uid="{00000000-0005-0000-0000-00005B160000}"/>
    <cellStyle name="Normal 31 2 2 3 3 2 3" xfId="2306" xr:uid="{00000000-0005-0000-0000-00005C160000}"/>
    <cellStyle name="Normal 31 2 2 3 3 2 3 2" xfId="6166" xr:uid="{00000000-0005-0000-0000-00005D160000}"/>
    <cellStyle name="Normal 31 2 2 3 3 2 3 3" xfId="11082" xr:uid="{00000000-0005-0000-0000-00005E160000}"/>
    <cellStyle name="Normal 31 2 2 3 3 2 4" xfId="3534" xr:uid="{00000000-0005-0000-0000-00005F160000}"/>
    <cellStyle name="Normal 31 2 2 3 3 2 4 2" xfId="7390" xr:uid="{00000000-0005-0000-0000-000060160000}"/>
    <cellStyle name="Normal 31 2 2 3 3 2 4 3" xfId="9840" xr:uid="{00000000-0005-0000-0000-000061160000}"/>
    <cellStyle name="Normal 31 2 2 3 3 2 5" xfId="4942" xr:uid="{00000000-0005-0000-0000-000062160000}"/>
    <cellStyle name="Normal 31 2 2 3 3 2 6" xfId="8597" xr:uid="{00000000-0005-0000-0000-000063160000}"/>
    <cellStyle name="Normal 31 2 2 3 3 3" xfId="1386" xr:uid="{00000000-0005-0000-0000-000064160000}"/>
    <cellStyle name="Normal 31 2 2 3 3 3 2" xfId="2612" xr:uid="{00000000-0005-0000-0000-000065160000}"/>
    <cellStyle name="Normal 31 2 2 3 3 3 2 2" xfId="6472" xr:uid="{00000000-0005-0000-0000-000066160000}"/>
    <cellStyle name="Normal 31 2 2 3 3 3 2 3" xfId="11424" xr:uid="{00000000-0005-0000-0000-000067160000}"/>
    <cellStyle name="Normal 31 2 2 3 3 3 3" xfId="3840" xr:uid="{00000000-0005-0000-0000-000068160000}"/>
    <cellStyle name="Normal 31 2 2 3 3 3 3 2" xfId="7696" xr:uid="{00000000-0005-0000-0000-000069160000}"/>
    <cellStyle name="Normal 31 2 2 3 3 3 3 3" xfId="10182" xr:uid="{00000000-0005-0000-0000-00006A160000}"/>
    <cellStyle name="Normal 31 2 2 3 3 3 4" xfId="5248" xr:uid="{00000000-0005-0000-0000-00006B160000}"/>
    <cellStyle name="Normal 31 2 2 3 3 3 5" xfId="8940" xr:uid="{00000000-0005-0000-0000-00006C160000}"/>
    <cellStyle name="Normal 31 2 2 3 3 4" xfId="2000" xr:uid="{00000000-0005-0000-0000-00006D160000}"/>
    <cellStyle name="Normal 31 2 2 3 3 4 2" xfId="5860" xr:uid="{00000000-0005-0000-0000-00006E160000}"/>
    <cellStyle name="Normal 31 2 2 3 3 4 3" xfId="10794" xr:uid="{00000000-0005-0000-0000-00006F160000}"/>
    <cellStyle name="Normal 31 2 2 3 3 5" xfId="3227" xr:uid="{00000000-0005-0000-0000-000070160000}"/>
    <cellStyle name="Normal 31 2 2 3 3 5 2" xfId="7084" xr:uid="{00000000-0005-0000-0000-000071160000}"/>
    <cellStyle name="Normal 31 2 2 3 3 5 3" xfId="12000" xr:uid="{00000000-0005-0000-0000-000072160000}"/>
    <cellStyle name="Normal 31 2 2 3 3 6" xfId="4636" xr:uid="{00000000-0005-0000-0000-000073160000}"/>
    <cellStyle name="Normal 31 2 2 3 3 6 2" xfId="9552" xr:uid="{00000000-0005-0000-0000-000074160000}"/>
    <cellStyle name="Normal 31 2 2 3 3 7" xfId="8309" xr:uid="{00000000-0005-0000-0000-000075160000}"/>
    <cellStyle name="Normal 31 2 2 3 4" xfId="638" xr:uid="{00000000-0005-0000-0000-000076160000}"/>
    <cellStyle name="Normal 31 2 2 3 4 2" xfId="988" xr:uid="{00000000-0005-0000-0000-000077160000}"/>
    <cellStyle name="Normal 31 2 2 3 4 2 2" xfId="1602" xr:uid="{00000000-0005-0000-0000-000078160000}"/>
    <cellStyle name="Normal 31 2 2 3 4 2 2 2" xfId="2828" xr:uid="{00000000-0005-0000-0000-000079160000}"/>
    <cellStyle name="Normal 31 2 2 3 4 2 2 2 2" xfId="6688" xr:uid="{00000000-0005-0000-0000-00007A160000}"/>
    <cellStyle name="Normal 31 2 2 3 4 2 2 2 3" xfId="11640" xr:uid="{00000000-0005-0000-0000-00007B160000}"/>
    <cellStyle name="Normal 31 2 2 3 4 2 2 3" xfId="4056" xr:uid="{00000000-0005-0000-0000-00007C160000}"/>
    <cellStyle name="Normal 31 2 2 3 4 2 2 3 2" xfId="7912" xr:uid="{00000000-0005-0000-0000-00007D160000}"/>
    <cellStyle name="Normal 31 2 2 3 4 2 2 3 3" xfId="10398" xr:uid="{00000000-0005-0000-0000-00007E160000}"/>
    <cellStyle name="Normal 31 2 2 3 4 2 2 4" xfId="5464" xr:uid="{00000000-0005-0000-0000-00007F160000}"/>
    <cellStyle name="Normal 31 2 2 3 4 2 2 5" xfId="9156" xr:uid="{00000000-0005-0000-0000-000080160000}"/>
    <cellStyle name="Normal 31 2 2 3 4 2 3" xfId="2216" xr:uid="{00000000-0005-0000-0000-000081160000}"/>
    <cellStyle name="Normal 31 2 2 3 4 2 3 2" xfId="6076" xr:uid="{00000000-0005-0000-0000-000082160000}"/>
    <cellStyle name="Normal 31 2 2 3 4 2 3 3" xfId="10992" xr:uid="{00000000-0005-0000-0000-000083160000}"/>
    <cellStyle name="Normal 31 2 2 3 4 2 4" xfId="3444" xr:uid="{00000000-0005-0000-0000-000084160000}"/>
    <cellStyle name="Normal 31 2 2 3 4 2 4 2" xfId="7300" xr:uid="{00000000-0005-0000-0000-000085160000}"/>
    <cellStyle name="Normal 31 2 2 3 4 2 4 3" xfId="9750" xr:uid="{00000000-0005-0000-0000-000086160000}"/>
    <cellStyle name="Normal 31 2 2 3 4 2 5" xfId="4852" xr:uid="{00000000-0005-0000-0000-000087160000}"/>
    <cellStyle name="Normal 31 2 2 3 4 2 6" xfId="8507" xr:uid="{00000000-0005-0000-0000-000088160000}"/>
    <cellStyle name="Normal 31 2 2 3 4 3" xfId="1296" xr:uid="{00000000-0005-0000-0000-000089160000}"/>
    <cellStyle name="Normal 31 2 2 3 4 3 2" xfId="2522" xr:uid="{00000000-0005-0000-0000-00008A160000}"/>
    <cellStyle name="Normal 31 2 2 3 4 3 2 2" xfId="6382" xr:uid="{00000000-0005-0000-0000-00008B160000}"/>
    <cellStyle name="Normal 31 2 2 3 4 3 2 3" xfId="11334" xr:uid="{00000000-0005-0000-0000-00008C160000}"/>
    <cellStyle name="Normal 31 2 2 3 4 3 3" xfId="3750" xr:uid="{00000000-0005-0000-0000-00008D160000}"/>
    <cellStyle name="Normal 31 2 2 3 4 3 3 2" xfId="7606" xr:uid="{00000000-0005-0000-0000-00008E160000}"/>
    <cellStyle name="Normal 31 2 2 3 4 3 3 3" xfId="10092" xr:uid="{00000000-0005-0000-0000-00008F160000}"/>
    <cellStyle name="Normal 31 2 2 3 4 3 4" xfId="5158" xr:uid="{00000000-0005-0000-0000-000090160000}"/>
    <cellStyle name="Normal 31 2 2 3 4 3 5" xfId="8850" xr:uid="{00000000-0005-0000-0000-000091160000}"/>
    <cellStyle name="Normal 31 2 2 3 4 4" xfId="1910" xr:uid="{00000000-0005-0000-0000-000092160000}"/>
    <cellStyle name="Normal 31 2 2 3 4 4 2" xfId="5770" xr:uid="{00000000-0005-0000-0000-000093160000}"/>
    <cellStyle name="Normal 31 2 2 3 4 4 3" xfId="10704" xr:uid="{00000000-0005-0000-0000-000094160000}"/>
    <cellStyle name="Normal 31 2 2 3 4 5" xfId="3137" xr:uid="{00000000-0005-0000-0000-000095160000}"/>
    <cellStyle name="Normal 31 2 2 3 4 5 2" xfId="6994" xr:uid="{00000000-0005-0000-0000-000096160000}"/>
    <cellStyle name="Normal 31 2 2 3 4 5 3" xfId="11910" xr:uid="{00000000-0005-0000-0000-000097160000}"/>
    <cellStyle name="Normal 31 2 2 3 4 6" xfId="4546" xr:uid="{00000000-0005-0000-0000-000098160000}"/>
    <cellStyle name="Normal 31 2 2 3 4 6 2" xfId="9462" xr:uid="{00000000-0005-0000-0000-000099160000}"/>
    <cellStyle name="Normal 31 2 2 3 4 7" xfId="8219" xr:uid="{00000000-0005-0000-0000-00009A160000}"/>
    <cellStyle name="Normal 31 2 2 3 5" xfId="544" xr:uid="{00000000-0005-0000-0000-00009B160000}"/>
    <cellStyle name="Normal 31 2 2 3 5 2" xfId="894" xr:uid="{00000000-0005-0000-0000-00009C160000}"/>
    <cellStyle name="Normal 31 2 2 3 5 2 2" xfId="1512" xr:uid="{00000000-0005-0000-0000-00009D160000}"/>
    <cellStyle name="Normal 31 2 2 3 5 2 2 2" xfId="2738" xr:uid="{00000000-0005-0000-0000-00009E160000}"/>
    <cellStyle name="Normal 31 2 2 3 5 2 2 2 2" xfId="6598" xr:uid="{00000000-0005-0000-0000-00009F160000}"/>
    <cellStyle name="Normal 31 2 2 3 5 2 2 2 3" xfId="11550" xr:uid="{00000000-0005-0000-0000-0000A0160000}"/>
    <cellStyle name="Normal 31 2 2 3 5 2 2 3" xfId="3966" xr:uid="{00000000-0005-0000-0000-0000A1160000}"/>
    <cellStyle name="Normal 31 2 2 3 5 2 2 3 2" xfId="7822" xr:uid="{00000000-0005-0000-0000-0000A2160000}"/>
    <cellStyle name="Normal 31 2 2 3 5 2 2 3 3" xfId="10308" xr:uid="{00000000-0005-0000-0000-0000A3160000}"/>
    <cellStyle name="Normal 31 2 2 3 5 2 2 4" xfId="5374" xr:uid="{00000000-0005-0000-0000-0000A4160000}"/>
    <cellStyle name="Normal 31 2 2 3 5 2 2 5" xfId="9066" xr:uid="{00000000-0005-0000-0000-0000A5160000}"/>
    <cellStyle name="Normal 31 2 2 3 5 2 3" xfId="2126" xr:uid="{00000000-0005-0000-0000-0000A6160000}"/>
    <cellStyle name="Normal 31 2 2 3 5 2 3 2" xfId="5986" xr:uid="{00000000-0005-0000-0000-0000A7160000}"/>
    <cellStyle name="Normal 31 2 2 3 5 2 3 3" xfId="11154" xr:uid="{00000000-0005-0000-0000-0000A8160000}"/>
    <cellStyle name="Normal 31 2 2 3 5 2 4" xfId="3354" xr:uid="{00000000-0005-0000-0000-0000A9160000}"/>
    <cellStyle name="Normal 31 2 2 3 5 2 4 2" xfId="7210" xr:uid="{00000000-0005-0000-0000-0000AA160000}"/>
    <cellStyle name="Normal 31 2 2 3 5 2 4 3" xfId="9912" xr:uid="{00000000-0005-0000-0000-0000AB160000}"/>
    <cellStyle name="Normal 31 2 2 3 5 2 5" xfId="4762" xr:uid="{00000000-0005-0000-0000-0000AC160000}"/>
    <cellStyle name="Normal 31 2 2 3 5 2 6" xfId="8670" xr:uid="{00000000-0005-0000-0000-0000AD160000}"/>
    <cellStyle name="Normal 31 2 2 3 5 3" xfId="1206" xr:uid="{00000000-0005-0000-0000-0000AE160000}"/>
    <cellStyle name="Normal 31 2 2 3 5 3 2" xfId="2432" xr:uid="{00000000-0005-0000-0000-0000AF160000}"/>
    <cellStyle name="Normal 31 2 2 3 5 3 2 2" xfId="6292" xr:uid="{00000000-0005-0000-0000-0000B0160000}"/>
    <cellStyle name="Normal 31 2 2 3 5 3 2 3" xfId="11244" xr:uid="{00000000-0005-0000-0000-0000B1160000}"/>
    <cellStyle name="Normal 31 2 2 3 5 3 3" xfId="3660" xr:uid="{00000000-0005-0000-0000-0000B2160000}"/>
    <cellStyle name="Normal 31 2 2 3 5 3 3 2" xfId="7516" xr:uid="{00000000-0005-0000-0000-0000B3160000}"/>
    <cellStyle name="Normal 31 2 2 3 5 3 3 3" xfId="10002" xr:uid="{00000000-0005-0000-0000-0000B4160000}"/>
    <cellStyle name="Normal 31 2 2 3 5 3 4" xfId="5068" xr:uid="{00000000-0005-0000-0000-0000B5160000}"/>
    <cellStyle name="Normal 31 2 2 3 5 3 5" xfId="8760" xr:uid="{00000000-0005-0000-0000-0000B6160000}"/>
    <cellStyle name="Normal 31 2 2 3 5 4" xfId="1820" xr:uid="{00000000-0005-0000-0000-0000B7160000}"/>
    <cellStyle name="Normal 31 2 2 3 5 4 2" xfId="5680" xr:uid="{00000000-0005-0000-0000-0000B8160000}"/>
    <cellStyle name="Normal 31 2 2 3 5 4 2 2" xfId="11136" xr:uid="{00000000-0005-0000-0000-0000B9160000}"/>
    <cellStyle name="Normal 31 2 2 3 5 4 3" xfId="9894" xr:uid="{00000000-0005-0000-0000-0000BA160000}"/>
    <cellStyle name="Normal 31 2 2 3 5 4 4" xfId="8651" xr:uid="{00000000-0005-0000-0000-0000BB160000}"/>
    <cellStyle name="Normal 31 2 2 3 5 5" xfId="3047" xr:uid="{00000000-0005-0000-0000-0000BC160000}"/>
    <cellStyle name="Normal 31 2 2 3 5 5 2" xfId="6904" xr:uid="{00000000-0005-0000-0000-0000BD160000}"/>
    <cellStyle name="Normal 31 2 2 3 5 5 3" xfId="10614" xr:uid="{00000000-0005-0000-0000-0000BE160000}"/>
    <cellStyle name="Normal 31 2 2 3 5 6" xfId="4456" xr:uid="{00000000-0005-0000-0000-0000BF160000}"/>
    <cellStyle name="Normal 31 2 2 3 5 6 2" xfId="9372" xr:uid="{00000000-0005-0000-0000-0000C0160000}"/>
    <cellStyle name="Normal 31 2 2 3 5 7" xfId="8129" xr:uid="{00000000-0005-0000-0000-0000C1160000}"/>
    <cellStyle name="Normal 31 2 2 3 6" xfId="820" xr:uid="{00000000-0005-0000-0000-0000C2160000}"/>
    <cellStyle name="Normal 31 2 2 3 6 2" xfId="1458" xr:uid="{00000000-0005-0000-0000-0000C3160000}"/>
    <cellStyle name="Normal 31 2 2 3 6 2 2" xfId="2684" xr:uid="{00000000-0005-0000-0000-0000C4160000}"/>
    <cellStyle name="Normal 31 2 2 3 6 2 2 2" xfId="6544" xr:uid="{00000000-0005-0000-0000-0000C5160000}"/>
    <cellStyle name="Normal 31 2 2 3 6 2 2 3" xfId="11496" xr:uid="{00000000-0005-0000-0000-0000C6160000}"/>
    <cellStyle name="Normal 31 2 2 3 6 2 3" xfId="3912" xr:uid="{00000000-0005-0000-0000-0000C7160000}"/>
    <cellStyle name="Normal 31 2 2 3 6 2 3 2" xfId="7768" xr:uid="{00000000-0005-0000-0000-0000C8160000}"/>
    <cellStyle name="Normal 31 2 2 3 6 2 3 3" xfId="10254" xr:uid="{00000000-0005-0000-0000-0000C9160000}"/>
    <cellStyle name="Normal 31 2 2 3 6 2 4" xfId="5320" xr:uid="{00000000-0005-0000-0000-0000CA160000}"/>
    <cellStyle name="Normal 31 2 2 3 6 2 5" xfId="9012" xr:uid="{00000000-0005-0000-0000-0000CB160000}"/>
    <cellStyle name="Normal 31 2 2 3 6 3" xfId="2072" xr:uid="{00000000-0005-0000-0000-0000CC160000}"/>
    <cellStyle name="Normal 31 2 2 3 6 3 2" xfId="5932" xr:uid="{00000000-0005-0000-0000-0000CD160000}"/>
    <cellStyle name="Normal 31 2 2 3 6 3 3" xfId="10902" xr:uid="{00000000-0005-0000-0000-0000CE160000}"/>
    <cellStyle name="Normal 31 2 2 3 6 4" xfId="3300" xr:uid="{00000000-0005-0000-0000-0000CF160000}"/>
    <cellStyle name="Normal 31 2 2 3 6 4 2" xfId="7156" xr:uid="{00000000-0005-0000-0000-0000D0160000}"/>
    <cellStyle name="Normal 31 2 2 3 6 4 3" xfId="9660" xr:uid="{00000000-0005-0000-0000-0000D1160000}"/>
    <cellStyle name="Normal 31 2 2 3 6 5" xfId="4708" xr:uid="{00000000-0005-0000-0000-0000D2160000}"/>
    <cellStyle name="Normal 31 2 2 3 6 6" xfId="8417" xr:uid="{00000000-0005-0000-0000-0000D3160000}"/>
    <cellStyle name="Normal 31 2 2 3 7" xfId="1152" xr:uid="{00000000-0005-0000-0000-0000D4160000}"/>
    <cellStyle name="Normal 31 2 2 3 7 2" xfId="2378" xr:uid="{00000000-0005-0000-0000-0000D5160000}"/>
    <cellStyle name="Normal 31 2 2 3 7 2 2" xfId="6238" xr:uid="{00000000-0005-0000-0000-0000D6160000}"/>
    <cellStyle name="Normal 31 2 2 3 7 2 3" xfId="11190" xr:uid="{00000000-0005-0000-0000-0000D7160000}"/>
    <cellStyle name="Normal 31 2 2 3 7 3" xfId="3606" xr:uid="{00000000-0005-0000-0000-0000D8160000}"/>
    <cellStyle name="Normal 31 2 2 3 7 3 2" xfId="7462" xr:uid="{00000000-0005-0000-0000-0000D9160000}"/>
    <cellStyle name="Normal 31 2 2 3 7 3 3" xfId="9948" xr:uid="{00000000-0005-0000-0000-0000DA160000}"/>
    <cellStyle name="Normal 31 2 2 3 7 4" xfId="5014" xr:uid="{00000000-0005-0000-0000-0000DB160000}"/>
    <cellStyle name="Normal 31 2 2 3 7 5" xfId="8706" xr:uid="{00000000-0005-0000-0000-0000DC160000}"/>
    <cellStyle name="Normal 31 2 2 3 8" xfId="1766" xr:uid="{00000000-0005-0000-0000-0000DD160000}"/>
    <cellStyle name="Normal 31 2 2 3 8 2" xfId="5626" xr:uid="{00000000-0005-0000-0000-0000DE160000}"/>
    <cellStyle name="Normal 31 2 2 3 8 3" xfId="10560" xr:uid="{00000000-0005-0000-0000-0000DF160000}"/>
    <cellStyle name="Normal 31 2 2 3 9" xfId="2993" xr:uid="{00000000-0005-0000-0000-0000E0160000}"/>
    <cellStyle name="Normal 31 2 2 3 9 2" xfId="6850" xr:uid="{00000000-0005-0000-0000-0000E1160000}"/>
    <cellStyle name="Normal 31 2 2 3 9 3" xfId="11820" xr:uid="{00000000-0005-0000-0000-0000E2160000}"/>
    <cellStyle name="Normal 31 2 2 4" xfId="565" xr:uid="{00000000-0005-0000-0000-0000E3160000}"/>
    <cellStyle name="Normal 31 2 2 4 2" xfId="746" xr:uid="{00000000-0005-0000-0000-0000E4160000}"/>
    <cellStyle name="Normal 31 2 2 4 2 2" xfId="1096" xr:uid="{00000000-0005-0000-0000-0000E5160000}"/>
    <cellStyle name="Normal 31 2 2 4 2 2 2" xfId="1710" xr:uid="{00000000-0005-0000-0000-0000E6160000}"/>
    <cellStyle name="Normal 31 2 2 4 2 2 2 2" xfId="2936" xr:uid="{00000000-0005-0000-0000-0000E7160000}"/>
    <cellStyle name="Normal 31 2 2 4 2 2 2 2 2" xfId="6796" xr:uid="{00000000-0005-0000-0000-0000E8160000}"/>
    <cellStyle name="Normal 31 2 2 4 2 2 2 2 3" xfId="11748" xr:uid="{00000000-0005-0000-0000-0000E9160000}"/>
    <cellStyle name="Normal 31 2 2 4 2 2 2 3" xfId="4164" xr:uid="{00000000-0005-0000-0000-0000EA160000}"/>
    <cellStyle name="Normal 31 2 2 4 2 2 2 3 2" xfId="8020" xr:uid="{00000000-0005-0000-0000-0000EB160000}"/>
    <cellStyle name="Normal 31 2 2 4 2 2 2 3 3" xfId="10506" xr:uid="{00000000-0005-0000-0000-0000EC160000}"/>
    <cellStyle name="Normal 31 2 2 4 2 2 2 4" xfId="5572" xr:uid="{00000000-0005-0000-0000-0000ED160000}"/>
    <cellStyle name="Normal 31 2 2 4 2 2 2 5" xfId="9264" xr:uid="{00000000-0005-0000-0000-0000EE160000}"/>
    <cellStyle name="Normal 31 2 2 4 2 2 3" xfId="2324" xr:uid="{00000000-0005-0000-0000-0000EF160000}"/>
    <cellStyle name="Normal 31 2 2 4 2 2 3 2" xfId="6184" xr:uid="{00000000-0005-0000-0000-0000F0160000}"/>
    <cellStyle name="Normal 31 2 2 4 2 2 3 3" xfId="11100" xr:uid="{00000000-0005-0000-0000-0000F1160000}"/>
    <cellStyle name="Normal 31 2 2 4 2 2 4" xfId="3552" xr:uid="{00000000-0005-0000-0000-0000F2160000}"/>
    <cellStyle name="Normal 31 2 2 4 2 2 4 2" xfId="7408" xr:uid="{00000000-0005-0000-0000-0000F3160000}"/>
    <cellStyle name="Normal 31 2 2 4 2 2 4 3" xfId="9858" xr:uid="{00000000-0005-0000-0000-0000F4160000}"/>
    <cellStyle name="Normal 31 2 2 4 2 2 5" xfId="4960" xr:uid="{00000000-0005-0000-0000-0000F5160000}"/>
    <cellStyle name="Normal 31 2 2 4 2 2 6" xfId="8615" xr:uid="{00000000-0005-0000-0000-0000F6160000}"/>
    <cellStyle name="Normal 31 2 2 4 2 3" xfId="1404" xr:uid="{00000000-0005-0000-0000-0000F7160000}"/>
    <cellStyle name="Normal 31 2 2 4 2 3 2" xfId="2630" xr:uid="{00000000-0005-0000-0000-0000F8160000}"/>
    <cellStyle name="Normal 31 2 2 4 2 3 2 2" xfId="6490" xr:uid="{00000000-0005-0000-0000-0000F9160000}"/>
    <cellStyle name="Normal 31 2 2 4 2 3 2 3" xfId="11442" xr:uid="{00000000-0005-0000-0000-0000FA160000}"/>
    <cellStyle name="Normal 31 2 2 4 2 3 3" xfId="3858" xr:uid="{00000000-0005-0000-0000-0000FB160000}"/>
    <cellStyle name="Normal 31 2 2 4 2 3 3 2" xfId="7714" xr:uid="{00000000-0005-0000-0000-0000FC160000}"/>
    <cellStyle name="Normal 31 2 2 4 2 3 3 3" xfId="10200" xr:uid="{00000000-0005-0000-0000-0000FD160000}"/>
    <cellStyle name="Normal 31 2 2 4 2 3 4" xfId="5266" xr:uid="{00000000-0005-0000-0000-0000FE160000}"/>
    <cellStyle name="Normal 31 2 2 4 2 3 5" xfId="8958" xr:uid="{00000000-0005-0000-0000-0000FF160000}"/>
    <cellStyle name="Normal 31 2 2 4 2 4" xfId="2018" xr:uid="{00000000-0005-0000-0000-000000170000}"/>
    <cellStyle name="Normal 31 2 2 4 2 4 2" xfId="5878" xr:uid="{00000000-0005-0000-0000-000001170000}"/>
    <cellStyle name="Normal 31 2 2 4 2 4 3" xfId="10812" xr:uid="{00000000-0005-0000-0000-000002170000}"/>
    <cellStyle name="Normal 31 2 2 4 2 5" xfId="3245" xr:uid="{00000000-0005-0000-0000-000003170000}"/>
    <cellStyle name="Normal 31 2 2 4 2 5 2" xfId="7102" xr:uid="{00000000-0005-0000-0000-000004170000}"/>
    <cellStyle name="Normal 31 2 2 4 2 5 3" xfId="12018" xr:uid="{00000000-0005-0000-0000-000005170000}"/>
    <cellStyle name="Normal 31 2 2 4 2 6" xfId="4654" xr:uid="{00000000-0005-0000-0000-000006170000}"/>
    <cellStyle name="Normal 31 2 2 4 2 6 2" xfId="9570" xr:uid="{00000000-0005-0000-0000-000007170000}"/>
    <cellStyle name="Normal 31 2 2 4 2 7" xfId="8327" xr:uid="{00000000-0005-0000-0000-000008170000}"/>
    <cellStyle name="Normal 31 2 2 4 3" xfId="656" xr:uid="{00000000-0005-0000-0000-000009170000}"/>
    <cellStyle name="Normal 31 2 2 4 3 2" xfId="1006" xr:uid="{00000000-0005-0000-0000-00000A170000}"/>
    <cellStyle name="Normal 31 2 2 4 3 2 2" xfId="1620" xr:uid="{00000000-0005-0000-0000-00000B170000}"/>
    <cellStyle name="Normal 31 2 2 4 3 2 2 2" xfId="2846" xr:uid="{00000000-0005-0000-0000-00000C170000}"/>
    <cellStyle name="Normal 31 2 2 4 3 2 2 2 2" xfId="6706" xr:uid="{00000000-0005-0000-0000-00000D170000}"/>
    <cellStyle name="Normal 31 2 2 4 3 2 2 2 3" xfId="11658" xr:uid="{00000000-0005-0000-0000-00000E170000}"/>
    <cellStyle name="Normal 31 2 2 4 3 2 2 3" xfId="4074" xr:uid="{00000000-0005-0000-0000-00000F170000}"/>
    <cellStyle name="Normal 31 2 2 4 3 2 2 3 2" xfId="7930" xr:uid="{00000000-0005-0000-0000-000010170000}"/>
    <cellStyle name="Normal 31 2 2 4 3 2 2 3 3" xfId="10416" xr:uid="{00000000-0005-0000-0000-000011170000}"/>
    <cellStyle name="Normal 31 2 2 4 3 2 2 4" xfId="5482" xr:uid="{00000000-0005-0000-0000-000012170000}"/>
    <cellStyle name="Normal 31 2 2 4 3 2 2 5" xfId="9174" xr:uid="{00000000-0005-0000-0000-000013170000}"/>
    <cellStyle name="Normal 31 2 2 4 3 2 3" xfId="2234" xr:uid="{00000000-0005-0000-0000-000014170000}"/>
    <cellStyle name="Normal 31 2 2 4 3 2 3 2" xfId="6094" xr:uid="{00000000-0005-0000-0000-000015170000}"/>
    <cellStyle name="Normal 31 2 2 4 3 2 3 3" xfId="11010" xr:uid="{00000000-0005-0000-0000-000016170000}"/>
    <cellStyle name="Normal 31 2 2 4 3 2 4" xfId="3462" xr:uid="{00000000-0005-0000-0000-000017170000}"/>
    <cellStyle name="Normal 31 2 2 4 3 2 4 2" xfId="7318" xr:uid="{00000000-0005-0000-0000-000018170000}"/>
    <cellStyle name="Normal 31 2 2 4 3 2 4 3" xfId="9768" xr:uid="{00000000-0005-0000-0000-000019170000}"/>
    <cellStyle name="Normal 31 2 2 4 3 2 5" xfId="4870" xr:uid="{00000000-0005-0000-0000-00001A170000}"/>
    <cellStyle name="Normal 31 2 2 4 3 2 6" xfId="8525" xr:uid="{00000000-0005-0000-0000-00001B170000}"/>
    <cellStyle name="Normal 31 2 2 4 3 3" xfId="1314" xr:uid="{00000000-0005-0000-0000-00001C170000}"/>
    <cellStyle name="Normal 31 2 2 4 3 3 2" xfId="2540" xr:uid="{00000000-0005-0000-0000-00001D170000}"/>
    <cellStyle name="Normal 31 2 2 4 3 3 2 2" xfId="6400" xr:uid="{00000000-0005-0000-0000-00001E170000}"/>
    <cellStyle name="Normal 31 2 2 4 3 3 2 3" xfId="11352" xr:uid="{00000000-0005-0000-0000-00001F170000}"/>
    <cellStyle name="Normal 31 2 2 4 3 3 3" xfId="3768" xr:uid="{00000000-0005-0000-0000-000020170000}"/>
    <cellStyle name="Normal 31 2 2 4 3 3 3 2" xfId="7624" xr:uid="{00000000-0005-0000-0000-000021170000}"/>
    <cellStyle name="Normal 31 2 2 4 3 3 3 3" xfId="10110" xr:uid="{00000000-0005-0000-0000-000022170000}"/>
    <cellStyle name="Normal 31 2 2 4 3 3 4" xfId="5176" xr:uid="{00000000-0005-0000-0000-000023170000}"/>
    <cellStyle name="Normal 31 2 2 4 3 3 5" xfId="8868" xr:uid="{00000000-0005-0000-0000-000024170000}"/>
    <cellStyle name="Normal 31 2 2 4 3 4" xfId="1928" xr:uid="{00000000-0005-0000-0000-000025170000}"/>
    <cellStyle name="Normal 31 2 2 4 3 4 2" xfId="5788" xr:uid="{00000000-0005-0000-0000-000026170000}"/>
    <cellStyle name="Normal 31 2 2 4 3 4 3" xfId="10722" xr:uid="{00000000-0005-0000-0000-000027170000}"/>
    <cellStyle name="Normal 31 2 2 4 3 5" xfId="3155" xr:uid="{00000000-0005-0000-0000-000028170000}"/>
    <cellStyle name="Normal 31 2 2 4 3 5 2" xfId="7012" xr:uid="{00000000-0005-0000-0000-000029170000}"/>
    <cellStyle name="Normal 31 2 2 4 3 5 3" xfId="11928" xr:uid="{00000000-0005-0000-0000-00002A170000}"/>
    <cellStyle name="Normal 31 2 2 4 3 6" xfId="4564" xr:uid="{00000000-0005-0000-0000-00002B170000}"/>
    <cellStyle name="Normal 31 2 2 4 3 6 2" xfId="9480" xr:uid="{00000000-0005-0000-0000-00002C170000}"/>
    <cellStyle name="Normal 31 2 2 4 3 7" xfId="8237" xr:uid="{00000000-0005-0000-0000-00002D170000}"/>
    <cellStyle name="Normal 31 2 2 4 4" xfId="915" xr:uid="{00000000-0005-0000-0000-00002E170000}"/>
    <cellStyle name="Normal 31 2 2 4 4 2" xfId="1530" xr:uid="{00000000-0005-0000-0000-00002F170000}"/>
    <cellStyle name="Normal 31 2 2 4 4 2 2" xfId="2756" xr:uid="{00000000-0005-0000-0000-000030170000}"/>
    <cellStyle name="Normal 31 2 2 4 4 2 2 2" xfId="6616" xr:uid="{00000000-0005-0000-0000-000031170000}"/>
    <cellStyle name="Normal 31 2 2 4 4 2 2 3" xfId="11568" xr:uid="{00000000-0005-0000-0000-000032170000}"/>
    <cellStyle name="Normal 31 2 2 4 4 2 3" xfId="3984" xr:uid="{00000000-0005-0000-0000-000033170000}"/>
    <cellStyle name="Normal 31 2 2 4 4 2 3 2" xfId="7840" xr:uid="{00000000-0005-0000-0000-000034170000}"/>
    <cellStyle name="Normal 31 2 2 4 4 2 3 3" xfId="10326" xr:uid="{00000000-0005-0000-0000-000035170000}"/>
    <cellStyle name="Normal 31 2 2 4 4 2 4" xfId="5392" xr:uid="{00000000-0005-0000-0000-000036170000}"/>
    <cellStyle name="Normal 31 2 2 4 4 2 5" xfId="9084" xr:uid="{00000000-0005-0000-0000-000037170000}"/>
    <cellStyle name="Normal 31 2 2 4 4 3" xfId="2144" xr:uid="{00000000-0005-0000-0000-000038170000}"/>
    <cellStyle name="Normal 31 2 2 4 4 3 2" xfId="6004" xr:uid="{00000000-0005-0000-0000-000039170000}"/>
    <cellStyle name="Normal 31 2 2 4 4 3 3" xfId="10920" xr:uid="{00000000-0005-0000-0000-00003A170000}"/>
    <cellStyle name="Normal 31 2 2 4 4 4" xfId="3372" xr:uid="{00000000-0005-0000-0000-00003B170000}"/>
    <cellStyle name="Normal 31 2 2 4 4 4 2" xfId="7228" xr:uid="{00000000-0005-0000-0000-00003C170000}"/>
    <cellStyle name="Normal 31 2 2 4 4 4 3" xfId="9678" xr:uid="{00000000-0005-0000-0000-00003D170000}"/>
    <cellStyle name="Normal 31 2 2 4 4 5" xfId="4780" xr:uid="{00000000-0005-0000-0000-00003E170000}"/>
    <cellStyle name="Normal 31 2 2 4 4 6" xfId="8435" xr:uid="{00000000-0005-0000-0000-00003F170000}"/>
    <cellStyle name="Normal 31 2 2 4 5" xfId="1224" xr:uid="{00000000-0005-0000-0000-000040170000}"/>
    <cellStyle name="Normal 31 2 2 4 5 2" xfId="2450" xr:uid="{00000000-0005-0000-0000-000041170000}"/>
    <cellStyle name="Normal 31 2 2 4 5 2 2" xfId="6310" xr:uid="{00000000-0005-0000-0000-000042170000}"/>
    <cellStyle name="Normal 31 2 2 4 5 2 3" xfId="11262" xr:uid="{00000000-0005-0000-0000-000043170000}"/>
    <cellStyle name="Normal 31 2 2 4 5 3" xfId="3678" xr:uid="{00000000-0005-0000-0000-000044170000}"/>
    <cellStyle name="Normal 31 2 2 4 5 3 2" xfId="7534" xr:uid="{00000000-0005-0000-0000-000045170000}"/>
    <cellStyle name="Normal 31 2 2 4 5 3 3" xfId="10020" xr:uid="{00000000-0005-0000-0000-000046170000}"/>
    <cellStyle name="Normal 31 2 2 4 5 4" xfId="5086" xr:uid="{00000000-0005-0000-0000-000047170000}"/>
    <cellStyle name="Normal 31 2 2 4 5 5" xfId="8778" xr:uid="{00000000-0005-0000-0000-000048170000}"/>
    <cellStyle name="Normal 31 2 2 4 6" xfId="1838" xr:uid="{00000000-0005-0000-0000-000049170000}"/>
    <cellStyle name="Normal 31 2 2 4 6 2" xfId="5698" xr:uid="{00000000-0005-0000-0000-00004A170000}"/>
    <cellStyle name="Normal 31 2 2 4 6 3" xfId="10632" xr:uid="{00000000-0005-0000-0000-00004B170000}"/>
    <cellStyle name="Normal 31 2 2 4 7" xfId="3065" xr:uid="{00000000-0005-0000-0000-00004C170000}"/>
    <cellStyle name="Normal 31 2 2 4 7 2" xfId="6922" xr:uid="{00000000-0005-0000-0000-00004D170000}"/>
    <cellStyle name="Normal 31 2 2 4 7 3" xfId="11838" xr:uid="{00000000-0005-0000-0000-00004E170000}"/>
    <cellStyle name="Normal 31 2 2 4 8" xfId="4474" xr:uid="{00000000-0005-0000-0000-00004F170000}"/>
    <cellStyle name="Normal 31 2 2 4 8 2" xfId="9390" xr:uid="{00000000-0005-0000-0000-000050170000}"/>
    <cellStyle name="Normal 31 2 2 4 9" xfId="8147" xr:uid="{00000000-0005-0000-0000-000051170000}"/>
    <cellStyle name="Normal 31 2 2 5" xfId="508" xr:uid="{00000000-0005-0000-0000-000052170000}"/>
    <cellStyle name="Normal 31 2 2 5 2" xfId="710" xr:uid="{00000000-0005-0000-0000-000053170000}"/>
    <cellStyle name="Normal 31 2 2 5 2 2" xfId="1060" xr:uid="{00000000-0005-0000-0000-000054170000}"/>
    <cellStyle name="Normal 31 2 2 5 2 2 2" xfId="1674" xr:uid="{00000000-0005-0000-0000-000055170000}"/>
    <cellStyle name="Normal 31 2 2 5 2 2 2 2" xfId="2900" xr:uid="{00000000-0005-0000-0000-000056170000}"/>
    <cellStyle name="Normal 31 2 2 5 2 2 2 2 2" xfId="6760" xr:uid="{00000000-0005-0000-0000-000057170000}"/>
    <cellStyle name="Normal 31 2 2 5 2 2 2 2 3" xfId="11712" xr:uid="{00000000-0005-0000-0000-000058170000}"/>
    <cellStyle name="Normal 31 2 2 5 2 2 2 3" xfId="4128" xr:uid="{00000000-0005-0000-0000-000059170000}"/>
    <cellStyle name="Normal 31 2 2 5 2 2 2 3 2" xfId="7984" xr:uid="{00000000-0005-0000-0000-00005A170000}"/>
    <cellStyle name="Normal 31 2 2 5 2 2 2 3 3" xfId="10470" xr:uid="{00000000-0005-0000-0000-00005B170000}"/>
    <cellStyle name="Normal 31 2 2 5 2 2 2 4" xfId="5536" xr:uid="{00000000-0005-0000-0000-00005C170000}"/>
    <cellStyle name="Normal 31 2 2 5 2 2 2 5" xfId="9228" xr:uid="{00000000-0005-0000-0000-00005D170000}"/>
    <cellStyle name="Normal 31 2 2 5 2 2 3" xfId="2288" xr:uid="{00000000-0005-0000-0000-00005E170000}"/>
    <cellStyle name="Normal 31 2 2 5 2 2 3 2" xfId="6148" xr:uid="{00000000-0005-0000-0000-00005F170000}"/>
    <cellStyle name="Normal 31 2 2 5 2 2 3 3" xfId="11064" xr:uid="{00000000-0005-0000-0000-000060170000}"/>
    <cellStyle name="Normal 31 2 2 5 2 2 4" xfId="3516" xr:uid="{00000000-0005-0000-0000-000061170000}"/>
    <cellStyle name="Normal 31 2 2 5 2 2 4 2" xfId="7372" xr:uid="{00000000-0005-0000-0000-000062170000}"/>
    <cellStyle name="Normal 31 2 2 5 2 2 4 3" xfId="9822" xr:uid="{00000000-0005-0000-0000-000063170000}"/>
    <cellStyle name="Normal 31 2 2 5 2 2 5" xfId="4924" xr:uid="{00000000-0005-0000-0000-000064170000}"/>
    <cellStyle name="Normal 31 2 2 5 2 2 6" xfId="8579" xr:uid="{00000000-0005-0000-0000-000065170000}"/>
    <cellStyle name="Normal 31 2 2 5 2 3" xfId="1368" xr:uid="{00000000-0005-0000-0000-000066170000}"/>
    <cellStyle name="Normal 31 2 2 5 2 3 2" xfId="2594" xr:uid="{00000000-0005-0000-0000-000067170000}"/>
    <cellStyle name="Normal 31 2 2 5 2 3 2 2" xfId="6454" xr:uid="{00000000-0005-0000-0000-000068170000}"/>
    <cellStyle name="Normal 31 2 2 5 2 3 2 3" xfId="11406" xr:uid="{00000000-0005-0000-0000-000069170000}"/>
    <cellStyle name="Normal 31 2 2 5 2 3 3" xfId="3822" xr:uid="{00000000-0005-0000-0000-00006A170000}"/>
    <cellStyle name="Normal 31 2 2 5 2 3 3 2" xfId="7678" xr:uid="{00000000-0005-0000-0000-00006B170000}"/>
    <cellStyle name="Normal 31 2 2 5 2 3 3 3" xfId="10164" xr:uid="{00000000-0005-0000-0000-00006C170000}"/>
    <cellStyle name="Normal 31 2 2 5 2 3 4" xfId="5230" xr:uid="{00000000-0005-0000-0000-00006D170000}"/>
    <cellStyle name="Normal 31 2 2 5 2 3 5" xfId="8922" xr:uid="{00000000-0005-0000-0000-00006E170000}"/>
    <cellStyle name="Normal 31 2 2 5 2 4" xfId="1982" xr:uid="{00000000-0005-0000-0000-00006F170000}"/>
    <cellStyle name="Normal 31 2 2 5 2 4 2" xfId="5842" xr:uid="{00000000-0005-0000-0000-000070170000}"/>
    <cellStyle name="Normal 31 2 2 5 2 4 3" xfId="10776" xr:uid="{00000000-0005-0000-0000-000071170000}"/>
    <cellStyle name="Normal 31 2 2 5 2 5" xfId="3209" xr:uid="{00000000-0005-0000-0000-000072170000}"/>
    <cellStyle name="Normal 31 2 2 5 2 5 2" xfId="7066" xr:uid="{00000000-0005-0000-0000-000073170000}"/>
    <cellStyle name="Normal 31 2 2 5 2 5 3" xfId="11982" xr:uid="{00000000-0005-0000-0000-000074170000}"/>
    <cellStyle name="Normal 31 2 2 5 2 6" xfId="4618" xr:uid="{00000000-0005-0000-0000-000075170000}"/>
    <cellStyle name="Normal 31 2 2 5 2 6 2" xfId="9534" xr:uid="{00000000-0005-0000-0000-000076170000}"/>
    <cellStyle name="Normal 31 2 2 5 2 7" xfId="8291" xr:uid="{00000000-0005-0000-0000-000077170000}"/>
    <cellStyle name="Normal 31 2 2 5 3" xfId="620" xr:uid="{00000000-0005-0000-0000-000078170000}"/>
    <cellStyle name="Normal 31 2 2 5 3 2" xfId="970" xr:uid="{00000000-0005-0000-0000-000079170000}"/>
    <cellStyle name="Normal 31 2 2 5 3 2 2" xfId="1584" xr:uid="{00000000-0005-0000-0000-00007A170000}"/>
    <cellStyle name="Normal 31 2 2 5 3 2 2 2" xfId="2810" xr:uid="{00000000-0005-0000-0000-00007B170000}"/>
    <cellStyle name="Normal 31 2 2 5 3 2 2 2 2" xfId="6670" xr:uid="{00000000-0005-0000-0000-00007C170000}"/>
    <cellStyle name="Normal 31 2 2 5 3 2 2 2 3" xfId="11622" xr:uid="{00000000-0005-0000-0000-00007D170000}"/>
    <cellStyle name="Normal 31 2 2 5 3 2 2 3" xfId="4038" xr:uid="{00000000-0005-0000-0000-00007E170000}"/>
    <cellStyle name="Normal 31 2 2 5 3 2 2 3 2" xfId="7894" xr:uid="{00000000-0005-0000-0000-00007F170000}"/>
    <cellStyle name="Normal 31 2 2 5 3 2 2 3 3" xfId="10380" xr:uid="{00000000-0005-0000-0000-000080170000}"/>
    <cellStyle name="Normal 31 2 2 5 3 2 2 4" xfId="5446" xr:uid="{00000000-0005-0000-0000-000081170000}"/>
    <cellStyle name="Normal 31 2 2 5 3 2 2 5" xfId="9138" xr:uid="{00000000-0005-0000-0000-000082170000}"/>
    <cellStyle name="Normal 31 2 2 5 3 2 3" xfId="2198" xr:uid="{00000000-0005-0000-0000-000083170000}"/>
    <cellStyle name="Normal 31 2 2 5 3 2 3 2" xfId="6058" xr:uid="{00000000-0005-0000-0000-000084170000}"/>
    <cellStyle name="Normal 31 2 2 5 3 2 3 3" xfId="10974" xr:uid="{00000000-0005-0000-0000-000085170000}"/>
    <cellStyle name="Normal 31 2 2 5 3 2 4" xfId="3426" xr:uid="{00000000-0005-0000-0000-000086170000}"/>
    <cellStyle name="Normal 31 2 2 5 3 2 4 2" xfId="7282" xr:uid="{00000000-0005-0000-0000-000087170000}"/>
    <cellStyle name="Normal 31 2 2 5 3 2 4 3" xfId="9732" xr:uid="{00000000-0005-0000-0000-000088170000}"/>
    <cellStyle name="Normal 31 2 2 5 3 2 5" xfId="4834" xr:uid="{00000000-0005-0000-0000-000089170000}"/>
    <cellStyle name="Normal 31 2 2 5 3 2 6" xfId="8489" xr:uid="{00000000-0005-0000-0000-00008A170000}"/>
    <cellStyle name="Normal 31 2 2 5 3 3" xfId="1278" xr:uid="{00000000-0005-0000-0000-00008B170000}"/>
    <cellStyle name="Normal 31 2 2 5 3 3 2" xfId="2504" xr:uid="{00000000-0005-0000-0000-00008C170000}"/>
    <cellStyle name="Normal 31 2 2 5 3 3 2 2" xfId="6364" xr:uid="{00000000-0005-0000-0000-00008D170000}"/>
    <cellStyle name="Normal 31 2 2 5 3 3 2 3" xfId="11316" xr:uid="{00000000-0005-0000-0000-00008E170000}"/>
    <cellStyle name="Normal 31 2 2 5 3 3 3" xfId="3732" xr:uid="{00000000-0005-0000-0000-00008F170000}"/>
    <cellStyle name="Normal 31 2 2 5 3 3 3 2" xfId="7588" xr:uid="{00000000-0005-0000-0000-000090170000}"/>
    <cellStyle name="Normal 31 2 2 5 3 3 3 3" xfId="10074" xr:uid="{00000000-0005-0000-0000-000091170000}"/>
    <cellStyle name="Normal 31 2 2 5 3 3 4" xfId="5140" xr:uid="{00000000-0005-0000-0000-000092170000}"/>
    <cellStyle name="Normal 31 2 2 5 3 3 5" xfId="8832" xr:uid="{00000000-0005-0000-0000-000093170000}"/>
    <cellStyle name="Normal 31 2 2 5 3 4" xfId="1892" xr:uid="{00000000-0005-0000-0000-000094170000}"/>
    <cellStyle name="Normal 31 2 2 5 3 4 2" xfId="5752" xr:uid="{00000000-0005-0000-0000-000095170000}"/>
    <cellStyle name="Normal 31 2 2 5 3 4 3" xfId="10686" xr:uid="{00000000-0005-0000-0000-000096170000}"/>
    <cellStyle name="Normal 31 2 2 5 3 5" xfId="3119" xr:uid="{00000000-0005-0000-0000-000097170000}"/>
    <cellStyle name="Normal 31 2 2 5 3 5 2" xfId="6976" xr:uid="{00000000-0005-0000-0000-000098170000}"/>
    <cellStyle name="Normal 31 2 2 5 3 5 3" xfId="11892" xr:uid="{00000000-0005-0000-0000-000099170000}"/>
    <cellStyle name="Normal 31 2 2 5 3 6" xfId="4528" xr:uid="{00000000-0005-0000-0000-00009A170000}"/>
    <cellStyle name="Normal 31 2 2 5 3 6 2" xfId="9444" xr:uid="{00000000-0005-0000-0000-00009B170000}"/>
    <cellStyle name="Normal 31 2 2 5 3 7" xfId="8201" xr:uid="{00000000-0005-0000-0000-00009C170000}"/>
    <cellStyle name="Normal 31 2 2 5 4" xfId="858" xr:uid="{00000000-0005-0000-0000-00009D170000}"/>
    <cellStyle name="Normal 31 2 2 5 4 2" xfId="1494" xr:uid="{00000000-0005-0000-0000-00009E170000}"/>
    <cellStyle name="Normal 31 2 2 5 4 2 2" xfId="2720" xr:uid="{00000000-0005-0000-0000-00009F170000}"/>
    <cellStyle name="Normal 31 2 2 5 4 2 2 2" xfId="6580" xr:uid="{00000000-0005-0000-0000-0000A0170000}"/>
    <cellStyle name="Normal 31 2 2 5 4 2 2 3" xfId="11532" xr:uid="{00000000-0005-0000-0000-0000A1170000}"/>
    <cellStyle name="Normal 31 2 2 5 4 2 3" xfId="3948" xr:uid="{00000000-0005-0000-0000-0000A2170000}"/>
    <cellStyle name="Normal 31 2 2 5 4 2 3 2" xfId="7804" xr:uid="{00000000-0005-0000-0000-0000A3170000}"/>
    <cellStyle name="Normal 31 2 2 5 4 2 3 3" xfId="10290" xr:uid="{00000000-0005-0000-0000-0000A4170000}"/>
    <cellStyle name="Normal 31 2 2 5 4 2 4" xfId="5356" xr:uid="{00000000-0005-0000-0000-0000A5170000}"/>
    <cellStyle name="Normal 31 2 2 5 4 2 5" xfId="9048" xr:uid="{00000000-0005-0000-0000-0000A6170000}"/>
    <cellStyle name="Normal 31 2 2 5 4 3" xfId="2108" xr:uid="{00000000-0005-0000-0000-0000A7170000}"/>
    <cellStyle name="Normal 31 2 2 5 4 3 2" xfId="5968" xr:uid="{00000000-0005-0000-0000-0000A8170000}"/>
    <cellStyle name="Normal 31 2 2 5 4 3 3" xfId="10884" xr:uid="{00000000-0005-0000-0000-0000A9170000}"/>
    <cellStyle name="Normal 31 2 2 5 4 4" xfId="3336" xr:uid="{00000000-0005-0000-0000-0000AA170000}"/>
    <cellStyle name="Normal 31 2 2 5 4 4 2" xfId="7192" xr:uid="{00000000-0005-0000-0000-0000AB170000}"/>
    <cellStyle name="Normal 31 2 2 5 4 4 3" xfId="9642" xr:uid="{00000000-0005-0000-0000-0000AC170000}"/>
    <cellStyle name="Normal 31 2 2 5 4 5" xfId="4744" xr:uid="{00000000-0005-0000-0000-0000AD170000}"/>
    <cellStyle name="Normal 31 2 2 5 4 6" xfId="8399" xr:uid="{00000000-0005-0000-0000-0000AE170000}"/>
    <cellStyle name="Normal 31 2 2 5 5" xfId="1188" xr:uid="{00000000-0005-0000-0000-0000AF170000}"/>
    <cellStyle name="Normal 31 2 2 5 5 2" xfId="2414" xr:uid="{00000000-0005-0000-0000-0000B0170000}"/>
    <cellStyle name="Normal 31 2 2 5 5 2 2" xfId="6274" xr:uid="{00000000-0005-0000-0000-0000B1170000}"/>
    <cellStyle name="Normal 31 2 2 5 5 2 3" xfId="11226" xr:uid="{00000000-0005-0000-0000-0000B2170000}"/>
    <cellStyle name="Normal 31 2 2 5 5 3" xfId="3642" xr:uid="{00000000-0005-0000-0000-0000B3170000}"/>
    <cellStyle name="Normal 31 2 2 5 5 3 2" xfId="7498" xr:uid="{00000000-0005-0000-0000-0000B4170000}"/>
    <cellStyle name="Normal 31 2 2 5 5 3 3" xfId="9984" xr:uid="{00000000-0005-0000-0000-0000B5170000}"/>
    <cellStyle name="Normal 31 2 2 5 5 4" xfId="5050" xr:uid="{00000000-0005-0000-0000-0000B6170000}"/>
    <cellStyle name="Normal 31 2 2 5 5 5" xfId="8742" xr:uid="{00000000-0005-0000-0000-0000B7170000}"/>
    <cellStyle name="Normal 31 2 2 5 6" xfId="1802" xr:uid="{00000000-0005-0000-0000-0000B8170000}"/>
    <cellStyle name="Normal 31 2 2 5 6 2" xfId="5662" xr:uid="{00000000-0005-0000-0000-0000B9170000}"/>
    <cellStyle name="Normal 31 2 2 5 6 3" xfId="10596" xr:uid="{00000000-0005-0000-0000-0000BA170000}"/>
    <cellStyle name="Normal 31 2 2 5 7" xfId="3029" xr:uid="{00000000-0005-0000-0000-0000BB170000}"/>
    <cellStyle name="Normal 31 2 2 5 7 2" xfId="6886" xr:uid="{00000000-0005-0000-0000-0000BC170000}"/>
    <cellStyle name="Normal 31 2 2 5 7 3" xfId="11802" xr:uid="{00000000-0005-0000-0000-0000BD170000}"/>
    <cellStyle name="Normal 31 2 2 5 8" xfId="4438" xr:uid="{00000000-0005-0000-0000-0000BE170000}"/>
    <cellStyle name="Normal 31 2 2 5 8 2" xfId="9354" xr:uid="{00000000-0005-0000-0000-0000BF170000}"/>
    <cellStyle name="Normal 31 2 2 5 9" xfId="8111" xr:uid="{00000000-0005-0000-0000-0000C0170000}"/>
    <cellStyle name="Normal 31 2 2 6" xfId="692" xr:uid="{00000000-0005-0000-0000-0000C1170000}"/>
    <cellStyle name="Normal 31 2 2 6 2" xfId="1042" xr:uid="{00000000-0005-0000-0000-0000C2170000}"/>
    <cellStyle name="Normal 31 2 2 6 2 2" xfId="1656" xr:uid="{00000000-0005-0000-0000-0000C3170000}"/>
    <cellStyle name="Normal 31 2 2 6 2 2 2" xfId="2882" xr:uid="{00000000-0005-0000-0000-0000C4170000}"/>
    <cellStyle name="Normal 31 2 2 6 2 2 2 2" xfId="6742" xr:uid="{00000000-0005-0000-0000-0000C5170000}"/>
    <cellStyle name="Normal 31 2 2 6 2 2 2 3" xfId="11694" xr:uid="{00000000-0005-0000-0000-0000C6170000}"/>
    <cellStyle name="Normal 31 2 2 6 2 2 3" xfId="4110" xr:uid="{00000000-0005-0000-0000-0000C7170000}"/>
    <cellStyle name="Normal 31 2 2 6 2 2 3 2" xfId="7966" xr:uid="{00000000-0005-0000-0000-0000C8170000}"/>
    <cellStyle name="Normal 31 2 2 6 2 2 3 3" xfId="10452" xr:uid="{00000000-0005-0000-0000-0000C9170000}"/>
    <cellStyle name="Normal 31 2 2 6 2 2 4" xfId="5518" xr:uid="{00000000-0005-0000-0000-0000CA170000}"/>
    <cellStyle name="Normal 31 2 2 6 2 2 5" xfId="9210" xr:uid="{00000000-0005-0000-0000-0000CB170000}"/>
    <cellStyle name="Normal 31 2 2 6 2 3" xfId="2270" xr:uid="{00000000-0005-0000-0000-0000CC170000}"/>
    <cellStyle name="Normal 31 2 2 6 2 3 2" xfId="6130" xr:uid="{00000000-0005-0000-0000-0000CD170000}"/>
    <cellStyle name="Normal 31 2 2 6 2 3 3" xfId="11046" xr:uid="{00000000-0005-0000-0000-0000CE170000}"/>
    <cellStyle name="Normal 31 2 2 6 2 4" xfId="3498" xr:uid="{00000000-0005-0000-0000-0000CF170000}"/>
    <cellStyle name="Normal 31 2 2 6 2 4 2" xfId="7354" xr:uid="{00000000-0005-0000-0000-0000D0170000}"/>
    <cellStyle name="Normal 31 2 2 6 2 4 3" xfId="9804" xr:uid="{00000000-0005-0000-0000-0000D1170000}"/>
    <cellStyle name="Normal 31 2 2 6 2 5" xfId="4906" xr:uid="{00000000-0005-0000-0000-0000D2170000}"/>
    <cellStyle name="Normal 31 2 2 6 2 6" xfId="8561" xr:uid="{00000000-0005-0000-0000-0000D3170000}"/>
    <cellStyle name="Normal 31 2 2 6 3" xfId="1350" xr:uid="{00000000-0005-0000-0000-0000D4170000}"/>
    <cellStyle name="Normal 31 2 2 6 3 2" xfId="2576" xr:uid="{00000000-0005-0000-0000-0000D5170000}"/>
    <cellStyle name="Normal 31 2 2 6 3 2 2" xfId="6436" xr:uid="{00000000-0005-0000-0000-0000D6170000}"/>
    <cellStyle name="Normal 31 2 2 6 3 2 3" xfId="11388" xr:uid="{00000000-0005-0000-0000-0000D7170000}"/>
    <cellStyle name="Normal 31 2 2 6 3 3" xfId="3804" xr:uid="{00000000-0005-0000-0000-0000D8170000}"/>
    <cellStyle name="Normal 31 2 2 6 3 3 2" xfId="7660" xr:uid="{00000000-0005-0000-0000-0000D9170000}"/>
    <cellStyle name="Normal 31 2 2 6 3 3 3" xfId="10146" xr:uid="{00000000-0005-0000-0000-0000DA170000}"/>
    <cellStyle name="Normal 31 2 2 6 3 4" xfId="5212" xr:uid="{00000000-0005-0000-0000-0000DB170000}"/>
    <cellStyle name="Normal 31 2 2 6 3 5" xfId="8904" xr:uid="{00000000-0005-0000-0000-0000DC170000}"/>
    <cellStyle name="Normal 31 2 2 6 4" xfId="1964" xr:uid="{00000000-0005-0000-0000-0000DD170000}"/>
    <cellStyle name="Normal 31 2 2 6 4 2" xfId="5824" xr:uid="{00000000-0005-0000-0000-0000DE170000}"/>
    <cellStyle name="Normal 31 2 2 6 4 3" xfId="10758" xr:uid="{00000000-0005-0000-0000-0000DF170000}"/>
    <cellStyle name="Normal 31 2 2 6 5" xfId="3191" xr:uid="{00000000-0005-0000-0000-0000E0170000}"/>
    <cellStyle name="Normal 31 2 2 6 5 2" xfId="7048" xr:uid="{00000000-0005-0000-0000-0000E1170000}"/>
    <cellStyle name="Normal 31 2 2 6 5 3" xfId="11964" xr:uid="{00000000-0005-0000-0000-0000E2170000}"/>
    <cellStyle name="Normal 31 2 2 6 6" xfId="4600" xr:uid="{00000000-0005-0000-0000-0000E3170000}"/>
    <cellStyle name="Normal 31 2 2 6 6 2" xfId="9516" xr:uid="{00000000-0005-0000-0000-0000E4170000}"/>
    <cellStyle name="Normal 31 2 2 6 7" xfId="8273" xr:uid="{00000000-0005-0000-0000-0000E5170000}"/>
    <cellStyle name="Normal 31 2 2 7" xfId="602" xr:uid="{00000000-0005-0000-0000-0000E6170000}"/>
    <cellStyle name="Normal 31 2 2 7 2" xfId="952" xr:uid="{00000000-0005-0000-0000-0000E7170000}"/>
    <cellStyle name="Normal 31 2 2 7 2 2" xfId="1566" xr:uid="{00000000-0005-0000-0000-0000E8170000}"/>
    <cellStyle name="Normal 31 2 2 7 2 2 2" xfId="2792" xr:uid="{00000000-0005-0000-0000-0000E9170000}"/>
    <cellStyle name="Normal 31 2 2 7 2 2 2 2" xfId="6652" xr:uid="{00000000-0005-0000-0000-0000EA170000}"/>
    <cellStyle name="Normal 31 2 2 7 2 2 2 3" xfId="11604" xr:uid="{00000000-0005-0000-0000-0000EB170000}"/>
    <cellStyle name="Normal 31 2 2 7 2 2 3" xfId="4020" xr:uid="{00000000-0005-0000-0000-0000EC170000}"/>
    <cellStyle name="Normal 31 2 2 7 2 2 3 2" xfId="7876" xr:uid="{00000000-0005-0000-0000-0000ED170000}"/>
    <cellStyle name="Normal 31 2 2 7 2 2 3 3" xfId="10362" xr:uid="{00000000-0005-0000-0000-0000EE170000}"/>
    <cellStyle name="Normal 31 2 2 7 2 2 4" xfId="5428" xr:uid="{00000000-0005-0000-0000-0000EF170000}"/>
    <cellStyle name="Normal 31 2 2 7 2 2 5" xfId="9120" xr:uid="{00000000-0005-0000-0000-0000F0170000}"/>
    <cellStyle name="Normal 31 2 2 7 2 3" xfId="2180" xr:uid="{00000000-0005-0000-0000-0000F1170000}"/>
    <cellStyle name="Normal 31 2 2 7 2 3 2" xfId="6040" xr:uid="{00000000-0005-0000-0000-0000F2170000}"/>
    <cellStyle name="Normal 31 2 2 7 2 3 3" xfId="10956" xr:uid="{00000000-0005-0000-0000-0000F3170000}"/>
    <cellStyle name="Normal 31 2 2 7 2 4" xfId="3408" xr:uid="{00000000-0005-0000-0000-0000F4170000}"/>
    <cellStyle name="Normal 31 2 2 7 2 4 2" xfId="7264" xr:uid="{00000000-0005-0000-0000-0000F5170000}"/>
    <cellStyle name="Normal 31 2 2 7 2 4 3" xfId="9714" xr:uid="{00000000-0005-0000-0000-0000F6170000}"/>
    <cellStyle name="Normal 31 2 2 7 2 5" xfId="4816" xr:uid="{00000000-0005-0000-0000-0000F7170000}"/>
    <cellStyle name="Normal 31 2 2 7 2 6" xfId="8471" xr:uid="{00000000-0005-0000-0000-0000F8170000}"/>
    <cellStyle name="Normal 31 2 2 7 3" xfId="1260" xr:uid="{00000000-0005-0000-0000-0000F9170000}"/>
    <cellStyle name="Normal 31 2 2 7 3 2" xfId="2486" xr:uid="{00000000-0005-0000-0000-0000FA170000}"/>
    <cellStyle name="Normal 31 2 2 7 3 2 2" xfId="6346" xr:uid="{00000000-0005-0000-0000-0000FB170000}"/>
    <cellStyle name="Normal 31 2 2 7 3 2 3" xfId="11298" xr:uid="{00000000-0005-0000-0000-0000FC170000}"/>
    <cellStyle name="Normal 31 2 2 7 3 3" xfId="3714" xr:uid="{00000000-0005-0000-0000-0000FD170000}"/>
    <cellStyle name="Normal 31 2 2 7 3 3 2" xfId="7570" xr:uid="{00000000-0005-0000-0000-0000FE170000}"/>
    <cellStyle name="Normal 31 2 2 7 3 3 3" xfId="10056" xr:uid="{00000000-0005-0000-0000-0000FF170000}"/>
    <cellStyle name="Normal 31 2 2 7 3 4" xfId="5122" xr:uid="{00000000-0005-0000-0000-000000180000}"/>
    <cellStyle name="Normal 31 2 2 7 3 5" xfId="8814" xr:uid="{00000000-0005-0000-0000-000001180000}"/>
    <cellStyle name="Normal 31 2 2 7 4" xfId="1874" xr:uid="{00000000-0005-0000-0000-000002180000}"/>
    <cellStyle name="Normal 31 2 2 7 4 2" xfId="5734" xr:uid="{00000000-0005-0000-0000-000003180000}"/>
    <cellStyle name="Normal 31 2 2 7 4 3" xfId="10668" xr:uid="{00000000-0005-0000-0000-000004180000}"/>
    <cellStyle name="Normal 31 2 2 7 5" xfId="3101" xr:uid="{00000000-0005-0000-0000-000005180000}"/>
    <cellStyle name="Normal 31 2 2 7 5 2" xfId="6958" xr:uid="{00000000-0005-0000-0000-000006180000}"/>
    <cellStyle name="Normal 31 2 2 7 5 3" xfId="11874" xr:uid="{00000000-0005-0000-0000-000007180000}"/>
    <cellStyle name="Normal 31 2 2 7 6" xfId="4510" xr:uid="{00000000-0005-0000-0000-000008180000}"/>
    <cellStyle name="Normal 31 2 2 7 6 2" xfId="9426" xr:uid="{00000000-0005-0000-0000-000009180000}"/>
    <cellStyle name="Normal 31 2 2 7 7" xfId="8183" xr:uid="{00000000-0005-0000-0000-00000A180000}"/>
    <cellStyle name="Normal 31 2 2 8" xfId="488" xr:uid="{00000000-0005-0000-0000-00000B180000}"/>
    <cellStyle name="Normal 31 2 2 8 2" xfId="838" xr:uid="{00000000-0005-0000-0000-00000C180000}"/>
    <cellStyle name="Normal 31 2 2 8 2 2" xfId="1476" xr:uid="{00000000-0005-0000-0000-00000D180000}"/>
    <cellStyle name="Normal 31 2 2 8 2 2 2" xfId="2702" xr:uid="{00000000-0005-0000-0000-00000E180000}"/>
    <cellStyle name="Normal 31 2 2 8 2 2 2 2" xfId="6562" xr:uid="{00000000-0005-0000-0000-00000F180000}"/>
    <cellStyle name="Normal 31 2 2 8 2 2 2 3" xfId="11514" xr:uid="{00000000-0005-0000-0000-000010180000}"/>
    <cellStyle name="Normal 31 2 2 8 2 2 3" xfId="3930" xr:uid="{00000000-0005-0000-0000-000011180000}"/>
    <cellStyle name="Normal 31 2 2 8 2 2 3 2" xfId="7786" xr:uid="{00000000-0005-0000-0000-000012180000}"/>
    <cellStyle name="Normal 31 2 2 8 2 2 3 3" xfId="10272" xr:uid="{00000000-0005-0000-0000-000013180000}"/>
    <cellStyle name="Normal 31 2 2 8 2 2 4" xfId="5338" xr:uid="{00000000-0005-0000-0000-000014180000}"/>
    <cellStyle name="Normal 31 2 2 8 2 2 5" xfId="9030" xr:uid="{00000000-0005-0000-0000-000015180000}"/>
    <cellStyle name="Normal 31 2 2 8 2 3" xfId="2090" xr:uid="{00000000-0005-0000-0000-000016180000}"/>
    <cellStyle name="Normal 31 2 2 8 2 3 2" xfId="5950" xr:uid="{00000000-0005-0000-0000-000017180000}"/>
    <cellStyle name="Normal 31 2 2 8 2 3 3" xfId="10866" xr:uid="{00000000-0005-0000-0000-000018180000}"/>
    <cellStyle name="Normal 31 2 2 8 2 4" xfId="3318" xr:uid="{00000000-0005-0000-0000-000019180000}"/>
    <cellStyle name="Normal 31 2 2 8 2 4 2" xfId="7174" xr:uid="{00000000-0005-0000-0000-00001A180000}"/>
    <cellStyle name="Normal 31 2 2 8 2 4 3" xfId="9624" xr:uid="{00000000-0005-0000-0000-00001B180000}"/>
    <cellStyle name="Normal 31 2 2 8 2 5" xfId="4726" xr:uid="{00000000-0005-0000-0000-00001C180000}"/>
    <cellStyle name="Normal 31 2 2 8 2 6" xfId="8381" xr:uid="{00000000-0005-0000-0000-00001D180000}"/>
    <cellStyle name="Normal 31 2 2 8 3" xfId="1170" xr:uid="{00000000-0005-0000-0000-00001E180000}"/>
    <cellStyle name="Normal 31 2 2 8 3 2" xfId="2396" xr:uid="{00000000-0005-0000-0000-00001F180000}"/>
    <cellStyle name="Normal 31 2 2 8 3 2 2" xfId="6256" xr:uid="{00000000-0005-0000-0000-000020180000}"/>
    <cellStyle name="Normal 31 2 2 8 3 2 3" xfId="11208" xr:uid="{00000000-0005-0000-0000-000021180000}"/>
    <cellStyle name="Normal 31 2 2 8 3 3" xfId="3624" xr:uid="{00000000-0005-0000-0000-000022180000}"/>
    <cellStyle name="Normal 31 2 2 8 3 3 2" xfId="7480" xr:uid="{00000000-0005-0000-0000-000023180000}"/>
    <cellStyle name="Normal 31 2 2 8 3 3 3" xfId="9966" xr:uid="{00000000-0005-0000-0000-000024180000}"/>
    <cellStyle name="Normal 31 2 2 8 3 4" xfId="5032" xr:uid="{00000000-0005-0000-0000-000025180000}"/>
    <cellStyle name="Normal 31 2 2 8 3 5" xfId="8724" xr:uid="{00000000-0005-0000-0000-000026180000}"/>
    <cellStyle name="Normal 31 2 2 8 4" xfId="1784" xr:uid="{00000000-0005-0000-0000-000027180000}"/>
    <cellStyle name="Normal 31 2 2 8 4 2" xfId="5644" xr:uid="{00000000-0005-0000-0000-000028180000}"/>
    <cellStyle name="Normal 31 2 2 8 4 3" xfId="10578" xr:uid="{00000000-0005-0000-0000-000029180000}"/>
    <cellStyle name="Normal 31 2 2 8 5" xfId="3011" xr:uid="{00000000-0005-0000-0000-00002A180000}"/>
    <cellStyle name="Normal 31 2 2 8 5 2" xfId="6868" xr:uid="{00000000-0005-0000-0000-00002B180000}"/>
    <cellStyle name="Normal 31 2 2 8 5 3" xfId="12054" xr:uid="{00000000-0005-0000-0000-00002C180000}"/>
    <cellStyle name="Normal 31 2 2 8 6" xfId="4420" xr:uid="{00000000-0005-0000-0000-00002D180000}"/>
    <cellStyle name="Normal 31 2 2 8 6 2" xfId="9336" xr:uid="{00000000-0005-0000-0000-00002E180000}"/>
    <cellStyle name="Normal 31 2 2 8 7" xfId="8093" xr:uid="{00000000-0005-0000-0000-00002F180000}"/>
    <cellStyle name="Normal 31 2 2 9" xfId="800" xr:uid="{00000000-0005-0000-0000-000030180000}"/>
    <cellStyle name="Normal 31 2 2 9 2" xfId="1440" xr:uid="{00000000-0005-0000-0000-000031180000}"/>
    <cellStyle name="Normal 31 2 2 9 2 2" xfId="2666" xr:uid="{00000000-0005-0000-0000-000032180000}"/>
    <cellStyle name="Normal 31 2 2 9 2 2 2" xfId="6526" xr:uid="{00000000-0005-0000-0000-000033180000}"/>
    <cellStyle name="Normal 31 2 2 9 2 2 3" xfId="11478" xr:uid="{00000000-0005-0000-0000-000034180000}"/>
    <cellStyle name="Normal 31 2 2 9 2 3" xfId="3894" xr:uid="{00000000-0005-0000-0000-000035180000}"/>
    <cellStyle name="Normal 31 2 2 9 2 3 2" xfId="7750" xr:uid="{00000000-0005-0000-0000-000036180000}"/>
    <cellStyle name="Normal 31 2 2 9 2 3 3" xfId="10236" xr:uid="{00000000-0005-0000-0000-000037180000}"/>
    <cellStyle name="Normal 31 2 2 9 2 4" xfId="5302" xr:uid="{00000000-0005-0000-0000-000038180000}"/>
    <cellStyle name="Normal 31 2 2 9 2 5" xfId="8994" xr:uid="{00000000-0005-0000-0000-000039180000}"/>
    <cellStyle name="Normal 31 2 2 9 3" xfId="2054" xr:uid="{00000000-0005-0000-0000-00003A180000}"/>
    <cellStyle name="Normal 31 2 2 9 3 2" xfId="5914" xr:uid="{00000000-0005-0000-0000-00003B180000}"/>
    <cellStyle name="Normal 31 2 2 9 3 3" xfId="10848" xr:uid="{00000000-0005-0000-0000-00003C180000}"/>
    <cellStyle name="Normal 31 2 2 9 4" xfId="3282" xr:uid="{00000000-0005-0000-0000-00003D180000}"/>
    <cellStyle name="Normal 31 2 2 9 4 2" xfId="7138" xr:uid="{00000000-0005-0000-0000-00003E180000}"/>
    <cellStyle name="Normal 31 2 2 9 4 3" xfId="9606" xr:uid="{00000000-0005-0000-0000-00003F180000}"/>
    <cellStyle name="Normal 31 2 2 9 5" xfId="4690" xr:uid="{00000000-0005-0000-0000-000040180000}"/>
    <cellStyle name="Normal 31 2 2 9 6" xfId="8363" xr:uid="{00000000-0005-0000-0000-000041180000}"/>
    <cellStyle name="Normal 31 2 3" xfId="451" xr:uid="{00000000-0005-0000-0000-000042180000}"/>
    <cellStyle name="Normal 31 2 3 10" xfId="1750" xr:uid="{00000000-0005-0000-0000-000043180000}"/>
    <cellStyle name="Normal 31 2 3 10 2" xfId="5610" xr:uid="{00000000-0005-0000-0000-000044180000}"/>
    <cellStyle name="Normal 31 2 3 10 3" xfId="10544" xr:uid="{00000000-0005-0000-0000-000045180000}"/>
    <cellStyle name="Normal 31 2 3 11" xfId="2977" xr:uid="{00000000-0005-0000-0000-000046180000}"/>
    <cellStyle name="Normal 31 2 3 11 2" xfId="6834" xr:uid="{00000000-0005-0000-0000-000047180000}"/>
    <cellStyle name="Normal 31 2 3 11 3" xfId="11786" xr:uid="{00000000-0005-0000-0000-000048180000}"/>
    <cellStyle name="Normal 31 2 3 12" xfId="4386" xr:uid="{00000000-0005-0000-0000-000049180000}"/>
    <cellStyle name="Normal 31 2 3 12 2" xfId="9302" xr:uid="{00000000-0005-0000-0000-00004A180000}"/>
    <cellStyle name="Normal 31 2 3 13" xfId="8059" xr:uid="{00000000-0005-0000-0000-00004B180000}"/>
    <cellStyle name="Normal 31 2 3 2" xfId="472" xr:uid="{00000000-0005-0000-0000-00004C180000}"/>
    <cellStyle name="Normal 31 2 3 2 10" xfId="4404" xr:uid="{00000000-0005-0000-0000-00004D180000}"/>
    <cellStyle name="Normal 31 2 3 2 10 2" xfId="9320" xr:uid="{00000000-0005-0000-0000-00004E180000}"/>
    <cellStyle name="Normal 31 2 3 2 11" xfId="8077" xr:uid="{00000000-0005-0000-0000-00004F180000}"/>
    <cellStyle name="Normal 31 2 3 2 2" xfId="585" xr:uid="{00000000-0005-0000-0000-000050180000}"/>
    <cellStyle name="Normal 31 2 3 2 2 2" xfId="766" xr:uid="{00000000-0005-0000-0000-000051180000}"/>
    <cellStyle name="Normal 31 2 3 2 2 2 2" xfId="1116" xr:uid="{00000000-0005-0000-0000-000052180000}"/>
    <cellStyle name="Normal 31 2 3 2 2 2 2 2" xfId="1730" xr:uid="{00000000-0005-0000-0000-000053180000}"/>
    <cellStyle name="Normal 31 2 3 2 2 2 2 2 2" xfId="2956" xr:uid="{00000000-0005-0000-0000-000054180000}"/>
    <cellStyle name="Normal 31 2 3 2 2 2 2 2 2 2" xfId="6816" xr:uid="{00000000-0005-0000-0000-000055180000}"/>
    <cellStyle name="Normal 31 2 3 2 2 2 2 2 2 3" xfId="11768" xr:uid="{00000000-0005-0000-0000-000056180000}"/>
    <cellStyle name="Normal 31 2 3 2 2 2 2 2 3" xfId="4184" xr:uid="{00000000-0005-0000-0000-000057180000}"/>
    <cellStyle name="Normal 31 2 3 2 2 2 2 2 3 2" xfId="8040" xr:uid="{00000000-0005-0000-0000-000058180000}"/>
    <cellStyle name="Normal 31 2 3 2 2 2 2 2 3 3" xfId="10526" xr:uid="{00000000-0005-0000-0000-000059180000}"/>
    <cellStyle name="Normal 31 2 3 2 2 2 2 2 4" xfId="5592" xr:uid="{00000000-0005-0000-0000-00005A180000}"/>
    <cellStyle name="Normal 31 2 3 2 2 2 2 2 5" xfId="9284" xr:uid="{00000000-0005-0000-0000-00005B180000}"/>
    <cellStyle name="Normal 31 2 3 2 2 2 2 3" xfId="2344" xr:uid="{00000000-0005-0000-0000-00005C180000}"/>
    <cellStyle name="Normal 31 2 3 2 2 2 2 3 2" xfId="6204" xr:uid="{00000000-0005-0000-0000-00005D180000}"/>
    <cellStyle name="Normal 31 2 3 2 2 2 2 3 3" xfId="11120" xr:uid="{00000000-0005-0000-0000-00005E180000}"/>
    <cellStyle name="Normal 31 2 3 2 2 2 2 4" xfId="3572" xr:uid="{00000000-0005-0000-0000-00005F180000}"/>
    <cellStyle name="Normal 31 2 3 2 2 2 2 4 2" xfId="7428" xr:uid="{00000000-0005-0000-0000-000060180000}"/>
    <cellStyle name="Normal 31 2 3 2 2 2 2 4 3" xfId="9878" xr:uid="{00000000-0005-0000-0000-000061180000}"/>
    <cellStyle name="Normal 31 2 3 2 2 2 2 5" xfId="4980" xr:uid="{00000000-0005-0000-0000-000062180000}"/>
    <cellStyle name="Normal 31 2 3 2 2 2 2 6" xfId="8635" xr:uid="{00000000-0005-0000-0000-000063180000}"/>
    <cellStyle name="Normal 31 2 3 2 2 2 3" xfId="1424" xr:uid="{00000000-0005-0000-0000-000064180000}"/>
    <cellStyle name="Normal 31 2 3 2 2 2 3 2" xfId="2650" xr:uid="{00000000-0005-0000-0000-000065180000}"/>
    <cellStyle name="Normal 31 2 3 2 2 2 3 2 2" xfId="6510" xr:uid="{00000000-0005-0000-0000-000066180000}"/>
    <cellStyle name="Normal 31 2 3 2 2 2 3 2 3" xfId="11462" xr:uid="{00000000-0005-0000-0000-000067180000}"/>
    <cellStyle name="Normal 31 2 3 2 2 2 3 3" xfId="3878" xr:uid="{00000000-0005-0000-0000-000068180000}"/>
    <cellStyle name="Normal 31 2 3 2 2 2 3 3 2" xfId="7734" xr:uid="{00000000-0005-0000-0000-000069180000}"/>
    <cellStyle name="Normal 31 2 3 2 2 2 3 3 3" xfId="10220" xr:uid="{00000000-0005-0000-0000-00006A180000}"/>
    <cellStyle name="Normal 31 2 3 2 2 2 3 4" xfId="5286" xr:uid="{00000000-0005-0000-0000-00006B180000}"/>
    <cellStyle name="Normal 31 2 3 2 2 2 3 5" xfId="8978" xr:uid="{00000000-0005-0000-0000-00006C180000}"/>
    <cellStyle name="Normal 31 2 3 2 2 2 4" xfId="2038" xr:uid="{00000000-0005-0000-0000-00006D180000}"/>
    <cellStyle name="Normal 31 2 3 2 2 2 4 2" xfId="5898" xr:uid="{00000000-0005-0000-0000-00006E180000}"/>
    <cellStyle name="Normal 31 2 3 2 2 2 4 3" xfId="10832" xr:uid="{00000000-0005-0000-0000-00006F180000}"/>
    <cellStyle name="Normal 31 2 3 2 2 2 5" xfId="3265" xr:uid="{00000000-0005-0000-0000-000070180000}"/>
    <cellStyle name="Normal 31 2 3 2 2 2 5 2" xfId="7122" xr:uid="{00000000-0005-0000-0000-000071180000}"/>
    <cellStyle name="Normal 31 2 3 2 2 2 5 3" xfId="12038" xr:uid="{00000000-0005-0000-0000-000072180000}"/>
    <cellStyle name="Normal 31 2 3 2 2 2 6" xfId="4674" xr:uid="{00000000-0005-0000-0000-000073180000}"/>
    <cellStyle name="Normal 31 2 3 2 2 2 6 2" xfId="9590" xr:uid="{00000000-0005-0000-0000-000074180000}"/>
    <cellStyle name="Normal 31 2 3 2 2 2 7" xfId="8347" xr:uid="{00000000-0005-0000-0000-000075180000}"/>
    <cellStyle name="Normal 31 2 3 2 2 3" xfId="676" xr:uid="{00000000-0005-0000-0000-000076180000}"/>
    <cellStyle name="Normal 31 2 3 2 2 3 2" xfId="1026" xr:uid="{00000000-0005-0000-0000-000077180000}"/>
    <cellStyle name="Normal 31 2 3 2 2 3 2 2" xfId="1640" xr:uid="{00000000-0005-0000-0000-000078180000}"/>
    <cellStyle name="Normal 31 2 3 2 2 3 2 2 2" xfId="2866" xr:uid="{00000000-0005-0000-0000-000079180000}"/>
    <cellStyle name="Normal 31 2 3 2 2 3 2 2 2 2" xfId="6726" xr:uid="{00000000-0005-0000-0000-00007A180000}"/>
    <cellStyle name="Normal 31 2 3 2 2 3 2 2 2 3" xfId="11678" xr:uid="{00000000-0005-0000-0000-00007B180000}"/>
    <cellStyle name="Normal 31 2 3 2 2 3 2 2 3" xfId="4094" xr:uid="{00000000-0005-0000-0000-00007C180000}"/>
    <cellStyle name="Normal 31 2 3 2 2 3 2 2 3 2" xfId="7950" xr:uid="{00000000-0005-0000-0000-00007D180000}"/>
    <cellStyle name="Normal 31 2 3 2 2 3 2 2 3 3" xfId="10436" xr:uid="{00000000-0005-0000-0000-00007E180000}"/>
    <cellStyle name="Normal 31 2 3 2 2 3 2 2 4" xfId="5502" xr:uid="{00000000-0005-0000-0000-00007F180000}"/>
    <cellStyle name="Normal 31 2 3 2 2 3 2 2 5" xfId="9194" xr:uid="{00000000-0005-0000-0000-000080180000}"/>
    <cellStyle name="Normal 31 2 3 2 2 3 2 3" xfId="2254" xr:uid="{00000000-0005-0000-0000-000081180000}"/>
    <cellStyle name="Normal 31 2 3 2 2 3 2 3 2" xfId="6114" xr:uid="{00000000-0005-0000-0000-000082180000}"/>
    <cellStyle name="Normal 31 2 3 2 2 3 2 3 3" xfId="11030" xr:uid="{00000000-0005-0000-0000-000083180000}"/>
    <cellStyle name="Normal 31 2 3 2 2 3 2 4" xfId="3482" xr:uid="{00000000-0005-0000-0000-000084180000}"/>
    <cellStyle name="Normal 31 2 3 2 2 3 2 4 2" xfId="7338" xr:uid="{00000000-0005-0000-0000-000085180000}"/>
    <cellStyle name="Normal 31 2 3 2 2 3 2 4 3" xfId="9788" xr:uid="{00000000-0005-0000-0000-000086180000}"/>
    <cellStyle name="Normal 31 2 3 2 2 3 2 5" xfId="4890" xr:uid="{00000000-0005-0000-0000-000087180000}"/>
    <cellStyle name="Normal 31 2 3 2 2 3 2 6" xfId="8545" xr:uid="{00000000-0005-0000-0000-000088180000}"/>
    <cellStyle name="Normal 31 2 3 2 2 3 3" xfId="1334" xr:uid="{00000000-0005-0000-0000-000089180000}"/>
    <cellStyle name="Normal 31 2 3 2 2 3 3 2" xfId="2560" xr:uid="{00000000-0005-0000-0000-00008A180000}"/>
    <cellStyle name="Normal 31 2 3 2 2 3 3 2 2" xfId="6420" xr:uid="{00000000-0005-0000-0000-00008B180000}"/>
    <cellStyle name="Normal 31 2 3 2 2 3 3 2 3" xfId="11372" xr:uid="{00000000-0005-0000-0000-00008C180000}"/>
    <cellStyle name="Normal 31 2 3 2 2 3 3 3" xfId="3788" xr:uid="{00000000-0005-0000-0000-00008D180000}"/>
    <cellStyle name="Normal 31 2 3 2 2 3 3 3 2" xfId="7644" xr:uid="{00000000-0005-0000-0000-00008E180000}"/>
    <cellStyle name="Normal 31 2 3 2 2 3 3 3 3" xfId="10130" xr:uid="{00000000-0005-0000-0000-00008F180000}"/>
    <cellStyle name="Normal 31 2 3 2 2 3 3 4" xfId="5196" xr:uid="{00000000-0005-0000-0000-000090180000}"/>
    <cellStyle name="Normal 31 2 3 2 2 3 3 5" xfId="8888" xr:uid="{00000000-0005-0000-0000-000091180000}"/>
    <cellStyle name="Normal 31 2 3 2 2 3 4" xfId="1948" xr:uid="{00000000-0005-0000-0000-000092180000}"/>
    <cellStyle name="Normal 31 2 3 2 2 3 4 2" xfId="5808" xr:uid="{00000000-0005-0000-0000-000093180000}"/>
    <cellStyle name="Normal 31 2 3 2 2 3 4 3" xfId="10742" xr:uid="{00000000-0005-0000-0000-000094180000}"/>
    <cellStyle name="Normal 31 2 3 2 2 3 5" xfId="3175" xr:uid="{00000000-0005-0000-0000-000095180000}"/>
    <cellStyle name="Normal 31 2 3 2 2 3 5 2" xfId="7032" xr:uid="{00000000-0005-0000-0000-000096180000}"/>
    <cellStyle name="Normal 31 2 3 2 2 3 5 3" xfId="11948" xr:uid="{00000000-0005-0000-0000-000097180000}"/>
    <cellStyle name="Normal 31 2 3 2 2 3 6" xfId="4584" xr:uid="{00000000-0005-0000-0000-000098180000}"/>
    <cellStyle name="Normal 31 2 3 2 2 3 6 2" xfId="9500" xr:uid="{00000000-0005-0000-0000-000099180000}"/>
    <cellStyle name="Normal 31 2 3 2 2 3 7" xfId="8257" xr:uid="{00000000-0005-0000-0000-00009A180000}"/>
    <cellStyle name="Normal 31 2 3 2 2 4" xfId="935" xr:uid="{00000000-0005-0000-0000-00009B180000}"/>
    <cellStyle name="Normal 31 2 3 2 2 4 2" xfId="1550" xr:uid="{00000000-0005-0000-0000-00009C180000}"/>
    <cellStyle name="Normal 31 2 3 2 2 4 2 2" xfId="2776" xr:uid="{00000000-0005-0000-0000-00009D180000}"/>
    <cellStyle name="Normal 31 2 3 2 2 4 2 2 2" xfId="6636" xr:uid="{00000000-0005-0000-0000-00009E180000}"/>
    <cellStyle name="Normal 31 2 3 2 2 4 2 2 3" xfId="11588" xr:uid="{00000000-0005-0000-0000-00009F180000}"/>
    <cellStyle name="Normal 31 2 3 2 2 4 2 3" xfId="4004" xr:uid="{00000000-0005-0000-0000-0000A0180000}"/>
    <cellStyle name="Normal 31 2 3 2 2 4 2 3 2" xfId="7860" xr:uid="{00000000-0005-0000-0000-0000A1180000}"/>
    <cellStyle name="Normal 31 2 3 2 2 4 2 3 3" xfId="10346" xr:uid="{00000000-0005-0000-0000-0000A2180000}"/>
    <cellStyle name="Normal 31 2 3 2 2 4 2 4" xfId="5412" xr:uid="{00000000-0005-0000-0000-0000A3180000}"/>
    <cellStyle name="Normal 31 2 3 2 2 4 2 5" xfId="9104" xr:uid="{00000000-0005-0000-0000-0000A4180000}"/>
    <cellStyle name="Normal 31 2 3 2 2 4 3" xfId="2164" xr:uid="{00000000-0005-0000-0000-0000A5180000}"/>
    <cellStyle name="Normal 31 2 3 2 2 4 3 2" xfId="6024" xr:uid="{00000000-0005-0000-0000-0000A6180000}"/>
    <cellStyle name="Normal 31 2 3 2 2 4 3 3" xfId="10940" xr:uid="{00000000-0005-0000-0000-0000A7180000}"/>
    <cellStyle name="Normal 31 2 3 2 2 4 4" xfId="3392" xr:uid="{00000000-0005-0000-0000-0000A8180000}"/>
    <cellStyle name="Normal 31 2 3 2 2 4 4 2" xfId="7248" xr:uid="{00000000-0005-0000-0000-0000A9180000}"/>
    <cellStyle name="Normal 31 2 3 2 2 4 4 3" xfId="9698" xr:uid="{00000000-0005-0000-0000-0000AA180000}"/>
    <cellStyle name="Normal 31 2 3 2 2 4 5" xfId="4800" xr:uid="{00000000-0005-0000-0000-0000AB180000}"/>
    <cellStyle name="Normal 31 2 3 2 2 4 6" xfId="8455" xr:uid="{00000000-0005-0000-0000-0000AC180000}"/>
    <cellStyle name="Normal 31 2 3 2 2 5" xfId="1244" xr:uid="{00000000-0005-0000-0000-0000AD180000}"/>
    <cellStyle name="Normal 31 2 3 2 2 5 2" xfId="2470" xr:uid="{00000000-0005-0000-0000-0000AE180000}"/>
    <cellStyle name="Normal 31 2 3 2 2 5 2 2" xfId="6330" xr:uid="{00000000-0005-0000-0000-0000AF180000}"/>
    <cellStyle name="Normal 31 2 3 2 2 5 2 3" xfId="11282" xr:uid="{00000000-0005-0000-0000-0000B0180000}"/>
    <cellStyle name="Normal 31 2 3 2 2 5 3" xfId="3698" xr:uid="{00000000-0005-0000-0000-0000B1180000}"/>
    <cellStyle name="Normal 31 2 3 2 2 5 3 2" xfId="7554" xr:uid="{00000000-0005-0000-0000-0000B2180000}"/>
    <cellStyle name="Normal 31 2 3 2 2 5 3 3" xfId="10040" xr:uid="{00000000-0005-0000-0000-0000B3180000}"/>
    <cellStyle name="Normal 31 2 3 2 2 5 4" xfId="5106" xr:uid="{00000000-0005-0000-0000-0000B4180000}"/>
    <cellStyle name="Normal 31 2 3 2 2 5 5" xfId="8798" xr:uid="{00000000-0005-0000-0000-0000B5180000}"/>
    <cellStyle name="Normal 31 2 3 2 2 6" xfId="1858" xr:uid="{00000000-0005-0000-0000-0000B6180000}"/>
    <cellStyle name="Normal 31 2 3 2 2 6 2" xfId="5718" xr:uid="{00000000-0005-0000-0000-0000B7180000}"/>
    <cellStyle name="Normal 31 2 3 2 2 6 3" xfId="10652" xr:uid="{00000000-0005-0000-0000-0000B8180000}"/>
    <cellStyle name="Normal 31 2 3 2 2 7" xfId="3085" xr:uid="{00000000-0005-0000-0000-0000B9180000}"/>
    <cellStyle name="Normal 31 2 3 2 2 7 2" xfId="6942" xr:uid="{00000000-0005-0000-0000-0000BA180000}"/>
    <cellStyle name="Normal 31 2 3 2 2 7 3" xfId="11858" xr:uid="{00000000-0005-0000-0000-0000BB180000}"/>
    <cellStyle name="Normal 31 2 3 2 2 8" xfId="4494" xr:uid="{00000000-0005-0000-0000-0000BC180000}"/>
    <cellStyle name="Normal 31 2 3 2 2 8 2" xfId="9410" xr:uid="{00000000-0005-0000-0000-0000BD180000}"/>
    <cellStyle name="Normal 31 2 3 2 2 9" xfId="8167" xr:uid="{00000000-0005-0000-0000-0000BE180000}"/>
    <cellStyle name="Normal 31 2 3 2 3" xfId="730" xr:uid="{00000000-0005-0000-0000-0000BF180000}"/>
    <cellStyle name="Normal 31 2 3 2 3 2" xfId="1080" xr:uid="{00000000-0005-0000-0000-0000C0180000}"/>
    <cellStyle name="Normal 31 2 3 2 3 2 2" xfId="1694" xr:uid="{00000000-0005-0000-0000-0000C1180000}"/>
    <cellStyle name="Normal 31 2 3 2 3 2 2 2" xfId="2920" xr:uid="{00000000-0005-0000-0000-0000C2180000}"/>
    <cellStyle name="Normal 31 2 3 2 3 2 2 2 2" xfId="6780" xr:uid="{00000000-0005-0000-0000-0000C3180000}"/>
    <cellStyle name="Normal 31 2 3 2 3 2 2 2 3" xfId="11732" xr:uid="{00000000-0005-0000-0000-0000C4180000}"/>
    <cellStyle name="Normal 31 2 3 2 3 2 2 3" xfId="4148" xr:uid="{00000000-0005-0000-0000-0000C5180000}"/>
    <cellStyle name="Normal 31 2 3 2 3 2 2 3 2" xfId="8004" xr:uid="{00000000-0005-0000-0000-0000C6180000}"/>
    <cellStyle name="Normal 31 2 3 2 3 2 2 3 3" xfId="10490" xr:uid="{00000000-0005-0000-0000-0000C7180000}"/>
    <cellStyle name="Normal 31 2 3 2 3 2 2 4" xfId="5556" xr:uid="{00000000-0005-0000-0000-0000C8180000}"/>
    <cellStyle name="Normal 31 2 3 2 3 2 2 5" xfId="9248" xr:uid="{00000000-0005-0000-0000-0000C9180000}"/>
    <cellStyle name="Normal 31 2 3 2 3 2 3" xfId="2308" xr:uid="{00000000-0005-0000-0000-0000CA180000}"/>
    <cellStyle name="Normal 31 2 3 2 3 2 3 2" xfId="6168" xr:uid="{00000000-0005-0000-0000-0000CB180000}"/>
    <cellStyle name="Normal 31 2 3 2 3 2 3 3" xfId="11084" xr:uid="{00000000-0005-0000-0000-0000CC180000}"/>
    <cellStyle name="Normal 31 2 3 2 3 2 4" xfId="3536" xr:uid="{00000000-0005-0000-0000-0000CD180000}"/>
    <cellStyle name="Normal 31 2 3 2 3 2 4 2" xfId="7392" xr:uid="{00000000-0005-0000-0000-0000CE180000}"/>
    <cellStyle name="Normal 31 2 3 2 3 2 4 3" xfId="9842" xr:uid="{00000000-0005-0000-0000-0000CF180000}"/>
    <cellStyle name="Normal 31 2 3 2 3 2 5" xfId="4944" xr:uid="{00000000-0005-0000-0000-0000D0180000}"/>
    <cellStyle name="Normal 31 2 3 2 3 2 6" xfId="8599" xr:uid="{00000000-0005-0000-0000-0000D1180000}"/>
    <cellStyle name="Normal 31 2 3 2 3 3" xfId="1388" xr:uid="{00000000-0005-0000-0000-0000D2180000}"/>
    <cellStyle name="Normal 31 2 3 2 3 3 2" xfId="2614" xr:uid="{00000000-0005-0000-0000-0000D3180000}"/>
    <cellStyle name="Normal 31 2 3 2 3 3 2 2" xfId="6474" xr:uid="{00000000-0005-0000-0000-0000D4180000}"/>
    <cellStyle name="Normal 31 2 3 2 3 3 2 3" xfId="11426" xr:uid="{00000000-0005-0000-0000-0000D5180000}"/>
    <cellStyle name="Normal 31 2 3 2 3 3 3" xfId="3842" xr:uid="{00000000-0005-0000-0000-0000D6180000}"/>
    <cellStyle name="Normal 31 2 3 2 3 3 3 2" xfId="7698" xr:uid="{00000000-0005-0000-0000-0000D7180000}"/>
    <cellStyle name="Normal 31 2 3 2 3 3 3 3" xfId="10184" xr:uid="{00000000-0005-0000-0000-0000D8180000}"/>
    <cellStyle name="Normal 31 2 3 2 3 3 4" xfId="5250" xr:uid="{00000000-0005-0000-0000-0000D9180000}"/>
    <cellStyle name="Normal 31 2 3 2 3 3 5" xfId="8942" xr:uid="{00000000-0005-0000-0000-0000DA180000}"/>
    <cellStyle name="Normal 31 2 3 2 3 4" xfId="2002" xr:uid="{00000000-0005-0000-0000-0000DB180000}"/>
    <cellStyle name="Normal 31 2 3 2 3 4 2" xfId="5862" xr:uid="{00000000-0005-0000-0000-0000DC180000}"/>
    <cellStyle name="Normal 31 2 3 2 3 4 3" xfId="10796" xr:uid="{00000000-0005-0000-0000-0000DD180000}"/>
    <cellStyle name="Normal 31 2 3 2 3 5" xfId="3229" xr:uid="{00000000-0005-0000-0000-0000DE180000}"/>
    <cellStyle name="Normal 31 2 3 2 3 5 2" xfId="7086" xr:uid="{00000000-0005-0000-0000-0000DF180000}"/>
    <cellStyle name="Normal 31 2 3 2 3 5 3" xfId="12002" xr:uid="{00000000-0005-0000-0000-0000E0180000}"/>
    <cellStyle name="Normal 31 2 3 2 3 6" xfId="4638" xr:uid="{00000000-0005-0000-0000-0000E1180000}"/>
    <cellStyle name="Normal 31 2 3 2 3 6 2" xfId="9554" xr:uid="{00000000-0005-0000-0000-0000E2180000}"/>
    <cellStyle name="Normal 31 2 3 2 3 7" xfId="8311" xr:uid="{00000000-0005-0000-0000-0000E3180000}"/>
    <cellStyle name="Normal 31 2 3 2 4" xfId="640" xr:uid="{00000000-0005-0000-0000-0000E4180000}"/>
    <cellStyle name="Normal 31 2 3 2 4 2" xfId="990" xr:uid="{00000000-0005-0000-0000-0000E5180000}"/>
    <cellStyle name="Normal 31 2 3 2 4 2 2" xfId="1604" xr:uid="{00000000-0005-0000-0000-0000E6180000}"/>
    <cellStyle name="Normal 31 2 3 2 4 2 2 2" xfId="2830" xr:uid="{00000000-0005-0000-0000-0000E7180000}"/>
    <cellStyle name="Normal 31 2 3 2 4 2 2 2 2" xfId="6690" xr:uid="{00000000-0005-0000-0000-0000E8180000}"/>
    <cellStyle name="Normal 31 2 3 2 4 2 2 2 3" xfId="11642" xr:uid="{00000000-0005-0000-0000-0000E9180000}"/>
    <cellStyle name="Normal 31 2 3 2 4 2 2 3" xfId="4058" xr:uid="{00000000-0005-0000-0000-0000EA180000}"/>
    <cellStyle name="Normal 31 2 3 2 4 2 2 3 2" xfId="7914" xr:uid="{00000000-0005-0000-0000-0000EB180000}"/>
    <cellStyle name="Normal 31 2 3 2 4 2 2 3 3" xfId="10400" xr:uid="{00000000-0005-0000-0000-0000EC180000}"/>
    <cellStyle name="Normal 31 2 3 2 4 2 2 4" xfId="5466" xr:uid="{00000000-0005-0000-0000-0000ED180000}"/>
    <cellStyle name="Normal 31 2 3 2 4 2 2 5" xfId="9158" xr:uid="{00000000-0005-0000-0000-0000EE180000}"/>
    <cellStyle name="Normal 31 2 3 2 4 2 3" xfId="2218" xr:uid="{00000000-0005-0000-0000-0000EF180000}"/>
    <cellStyle name="Normal 31 2 3 2 4 2 3 2" xfId="6078" xr:uid="{00000000-0005-0000-0000-0000F0180000}"/>
    <cellStyle name="Normal 31 2 3 2 4 2 3 3" xfId="10994" xr:uid="{00000000-0005-0000-0000-0000F1180000}"/>
    <cellStyle name="Normal 31 2 3 2 4 2 4" xfId="3446" xr:uid="{00000000-0005-0000-0000-0000F2180000}"/>
    <cellStyle name="Normal 31 2 3 2 4 2 4 2" xfId="7302" xr:uid="{00000000-0005-0000-0000-0000F3180000}"/>
    <cellStyle name="Normal 31 2 3 2 4 2 4 3" xfId="9752" xr:uid="{00000000-0005-0000-0000-0000F4180000}"/>
    <cellStyle name="Normal 31 2 3 2 4 2 5" xfId="4854" xr:uid="{00000000-0005-0000-0000-0000F5180000}"/>
    <cellStyle name="Normal 31 2 3 2 4 2 6" xfId="8509" xr:uid="{00000000-0005-0000-0000-0000F6180000}"/>
    <cellStyle name="Normal 31 2 3 2 4 3" xfId="1298" xr:uid="{00000000-0005-0000-0000-0000F7180000}"/>
    <cellStyle name="Normal 31 2 3 2 4 3 2" xfId="2524" xr:uid="{00000000-0005-0000-0000-0000F8180000}"/>
    <cellStyle name="Normal 31 2 3 2 4 3 2 2" xfId="6384" xr:uid="{00000000-0005-0000-0000-0000F9180000}"/>
    <cellStyle name="Normal 31 2 3 2 4 3 2 3" xfId="11336" xr:uid="{00000000-0005-0000-0000-0000FA180000}"/>
    <cellStyle name="Normal 31 2 3 2 4 3 3" xfId="3752" xr:uid="{00000000-0005-0000-0000-0000FB180000}"/>
    <cellStyle name="Normal 31 2 3 2 4 3 3 2" xfId="7608" xr:uid="{00000000-0005-0000-0000-0000FC180000}"/>
    <cellStyle name="Normal 31 2 3 2 4 3 3 3" xfId="10094" xr:uid="{00000000-0005-0000-0000-0000FD180000}"/>
    <cellStyle name="Normal 31 2 3 2 4 3 4" xfId="5160" xr:uid="{00000000-0005-0000-0000-0000FE180000}"/>
    <cellStyle name="Normal 31 2 3 2 4 3 5" xfId="8852" xr:uid="{00000000-0005-0000-0000-0000FF180000}"/>
    <cellStyle name="Normal 31 2 3 2 4 4" xfId="1912" xr:uid="{00000000-0005-0000-0000-000000190000}"/>
    <cellStyle name="Normal 31 2 3 2 4 4 2" xfId="5772" xr:uid="{00000000-0005-0000-0000-000001190000}"/>
    <cellStyle name="Normal 31 2 3 2 4 4 3" xfId="10706" xr:uid="{00000000-0005-0000-0000-000002190000}"/>
    <cellStyle name="Normal 31 2 3 2 4 5" xfId="3139" xr:uid="{00000000-0005-0000-0000-000003190000}"/>
    <cellStyle name="Normal 31 2 3 2 4 5 2" xfId="6996" xr:uid="{00000000-0005-0000-0000-000004190000}"/>
    <cellStyle name="Normal 31 2 3 2 4 5 3" xfId="11912" xr:uid="{00000000-0005-0000-0000-000005190000}"/>
    <cellStyle name="Normal 31 2 3 2 4 6" xfId="4548" xr:uid="{00000000-0005-0000-0000-000006190000}"/>
    <cellStyle name="Normal 31 2 3 2 4 6 2" xfId="9464" xr:uid="{00000000-0005-0000-0000-000007190000}"/>
    <cellStyle name="Normal 31 2 3 2 4 7" xfId="8221" xr:uid="{00000000-0005-0000-0000-000008190000}"/>
    <cellStyle name="Normal 31 2 3 2 5" xfId="546" xr:uid="{00000000-0005-0000-0000-000009190000}"/>
    <cellStyle name="Normal 31 2 3 2 5 2" xfId="896" xr:uid="{00000000-0005-0000-0000-00000A190000}"/>
    <cellStyle name="Normal 31 2 3 2 5 2 2" xfId="1514" xr:uid="{00000000-0005-0000-0000-00000B190000}"/>
    <cellStyle name="Normal 31 2 3 2 5 2 2 2" xfId="2740" xr:uid="{00000000-0005-0000-0000-00000C190000}"/>
    <cellStyle name="Normal 31 2 3 2 5 2 2 2 2" xfId="6600" xr:uid="{00000000-0005-0000-0000-00000D190000}"/>
    <cellStyle name="Normal 31 2 3 2 5 2 2 2 3" xfId="11552" xr:uid="{00000000-0005-0000-0000-00000E190000}"/>
    <cellStyle name="Normal 31 2 3 2 5 2 2 3" xfId="3968" xr:uid="{00000000-0005-0000-0000-00000F190000}"/>
    <cellStyle name="Normal 31 2 3 2 5 2 2 3 2" xfId="7824" xr:uid="{00000000-0005-0000-0000-000010190000}"/>
    <cellStyle name="Normal 31 2 3 2 5 2 2 3 3" xfId="10310" xr:uid="{00000000-0005-0000-0000-000011190000}"/>
    <cellStyle name="Normal 31 2 3 2 5 2 2 4" xfId="5376" xr:uid="{00000000-0005-0000-0000-000012190000}"/>
    <cellStyle name="Normal 31 2 3 2 5 2 2 5" xfId="9068" xr:uid="{00000000-0005-0000-0000-000013190000}"/>
    <cellStyle name="Normal 31 2 3 2 5 2 3" xfId="2128" xr:uid="{00000000-0005-0000-0000-000014190000}"/>
    <cellStyle name="Normal 31 2 3 2 5 2 3 2" xfId="5988" xr:uid="{00000000-0005-0000-0000-000015190000}"/>
    <cellStyle name="Normal 31 2 3 2 5 2 3 3" xfId="11156" xr:uid="{00000000-0005-0000-0000-000016190000}"/>
    <cellStyle name="Normal 31 2 3 2 5 2 4" xfId="3356" xr:uid="{00000000-0005-0000-0000-000017190000}"/>
    <cellStyle name="Normal 31 2 3 2 5 2 4 2" xfId="7212" xr:uid="{00000000-0005-0000-0000-000018190000}"/>
    <cellStyle name="Normal 31 2 3 2 5 2 4 3" xfId="9914" xr:uid="{00000000-0005-0000-0000-000019190000}"/>
    <cellStyle name="Normal 31 2 3 2 5 2 5" xfId="4764" xr:uid="{00000000-0005-0000-0000-00001A190000}"/>
    <cellStyle name="Normal 31 2 3 2 5 2 6" xfId="8672" xr:uid="{00000000-0005-0000-0000-00001B190000}"/>
    <cellStyle name="Normal 31 2 3 2 5 3" xfId="1208" xr:uid="{00000000-0005-0000-0000-00001C190000}"/>
    <cellStyle name="Normal 31 2 3 2 5 3 2" xfId="2434" xr:uid="{00000000-0005-0000-0000-00001D190000}"/>
    <cellStyle name="Normal 31 2 3 2 5 3 2 2" xfId="6294" xr:uid="{00000000-0005-0000-0000-00001E190000}"/>
    <cellStyle name="Normal 31 2 3 2 5 3 2 3" xfId="11246" xr:uid="{00000000-0005-0000-0000-00001F190000}"/>
    <cellStyle name="Normal 31 2 3 2 5 3 3" xfId="3662" xr:uid="{00000000-0005-0000-0000-000020190000}"/>
    <cellStyle name="Normal 31 2 3 2 5 3 3 2" xfId="7518" xr:uid="{00000000-0005-0000-0000-000021190000}"/>
    <cellStyle name="Normal 31 2 3 2 5 3 3 3" xfId="10004" xr:uid="{00000000-0005-0000-0000-000022190000}"/>
    <cellStyle name="Normal 31 2 3 2 5 3 4" xfId="5070" xr:uid="{00000000-0005-0000-0000-000023190000}"/>
    <cellStyle name="Normal 31 2 3 2 5 3 5" xfId="8762" xr:uid="{00000000-0005-0000-0000-000024190000}"/>
    <cellStyle name="Normal 31 2 3 2 5 4" xfId="1822" xr:uid="{00000000-0005-0000-0000-000025190000}"/>
    <cellStyle name="Normal 31 2 3 2 5 4 2" xfId="5682" xr:uid="{00000000-0005-0000-0000-000026190000}"/>
    <cellStyle name="Normal 31 2 3 2 5 4 2 2" xfId="11138" xr:uid="{00000000-0005-0000-0000-000027190000}"/>
    <cellStyle name="Normal 31 2 3 2 5 4 3" xfId="9896" xr:uid="{00000000-0005-0000-0000-000028190000}"/>
    <cellStyle name="Normal 31 2 3 2 5 4 4" xfId="8653" xr:uid="{00000000-0005-0000-0000-000029190000}"/>
    <cellStyle name="Normal 31 2 3 2 5 5" xfId="3049" xr:uid="{00000000-0005-0000-0000-00002A190000}"/>
    <cellStyle name="Normal 31 2 3 2 5 5 2" xfId="6906" xr:uid="{00000000-0005-0000-0000-00002B190000}"/>
    <cellStyle name="Normal 31 2 3 2 5 5 3" xfId="10616" xr:uid="{00000000-0005-0000-0000-00002C190000}"/>
    <cellStyle name="Normal 31 2 3 2 5 6" xfId="4458" xr:uid="{00000000-0005-0000-0000-00002D190000}"/>
    <cellStyle name="Normal 31 2 3 2 5 6 2" xfId="9374" xr:uid="{00000000-0005-0000-0000-00002E190000}"/>
    <cellStyle name="Normal 31 2 3 2 5 7" xfId="8131" xr:uid="{00000000-0005-0000-0000-00002F190000}"/>
    <cellStyle name="Normal 31 2 3 2 6" xfId="822" xr:uid="{00000000-0005-0000-0000-000030190000}"/>
    <cellStyle name="Normal 31 2 3 2 6 2" xfId="1460" xr:uid="{00000000-0005-0000-0000-000031190000}"/>
    <cellStyle name="Normal 31 2 3 2 6 2 2" xfId="2686" xr:uid="{00000000-0005-0000-0000-000032190000}"/>
    <cellStyle name="Normal 31 2 3 2 6 2 2 2" xfId="6546" xr:uid="{00000000-0005-0000-0000-000033190000}"/>
    <cellStyle name="Normal 31 2 3 2 6 2 2 3" xfId="11498" xr:uid="{00000000-0005-0000-0000-000034190000}"/>
    <cellStyle name="Normal 31 2 3 2 6 2 3" xfId="3914" xr:uid="{00000000-0005-0000-0000-000035190000}"/>
    <cellStyle name="Normal 31 2 3 2 6 2 3 2" xfId="7770" xr:uid="{00000000-0005-0000-0000-000036190000}"/>
    <cellStyle name="Normal 31 2 3 2 6 2 3 3" xfId="10256" xr:uid="{00000000-0005-0000-0000-000037190000}"/>
    <cellStyle name="Normal 31 2 3 2 6 2 4" xfId="5322" xr:uid="{00000000-0005-0000-0000-000038190000}"/>
    <cellStyle name="Normal 31 2 3 2 6 2 5" xfId="9014" xr:uid="{00000000-0005-0000-0000-000039190000}"/>
    <cellStyle name="Normal 31 2 3 2 6 3" xfId="2074" xr:uid="{00000000-0005-0000-0000-00003A190000}"/>
    <cellStyle name="Normal 31 2 3 2 6 3 2" xfId="5934" xr:uid="{00000000-0005-0000-0000-00003B190000}"/>
    <cellStyle name="Normal 31 2 3 2 6 3 3" xfId="10904" xr:uid="{00000000-0005-0000-0000-00003C190000}"/>
    <cellStyle name="Normal 31 2 3 2 6 4" xfId="3302" xr:uid="{00000000-0005-0000-0000-00003D190000}"/>
    <cellStyle name="Normal 31 2 3 2 6 4 2" xfId="7158" xr:uid="{00000000-0005-0000-0000-00003E190000}"/>
    <cellStyle name="Normal 31 2 3 2 6 4 3" xfId="9662" xr:uid="{00000000-0005-0000-0000-00003F190000}"/>
    <cellStyle name="Normal 31 2 3 2 6 5" xfId="4710" xr:uid="{00000000-0005-0000-0000-000040190000}"/>
    <cellStyle name="Normal 31 2 3 2 6 6" xfId="8419" xr:uid="{00000000-0005-0000-0000-000041190000}"/>
    <cellStyle name="Normal 31 2 3 2 7" xfId="1154" xr:uid="{00000000-0005-0000-0000-000042190000}"/>
    <cellStyle name="Normal 31 2 3 2 7 2" xfId="2380" xr:uid="{00000000-0005-0000-0000-000043190000}"/>
    <cellStyle name="Normal 31 2 3 2 7 2 2" xfId="6240" xr:uid="{00000000-0005-0000-0000-000044190000}"/>
    <cellStyle name="Normal 31 2 3 2 7 2 3" xfId="11192" xr:uid="{00000000-0005-0000-0000-000045190000}"/>
    <cellStyle name="Normal 31 2 3 2 7 3" xfId="3608" xr:uid="{00000000-0005-0000-0000-000046190000}"/>
    <cellStyle name="Normal 31 2 3 2 7 3 2" xfId="7464" xr:uid="{00000000-0005-0000-0000-000047190000}"/>
    <cellStyle name="Normal 31 2 3 2 7 3 3" xfId="9950" xr:uid="{00000000-0005-0000-0000-000048190000}"/>
    <cellStyle name="Normal 31 2 3 2 7 4" xfId="5016" xr:uid="{00000000-0005-0000-0000-000049190000}"/>
    <cellStyle name="Normal 31 2 3 2 7 5" xfId="8708" xr:uid="{00000000-0005-0000-0000-00004A190000}"/>
    <cellStyle name="Normal 31 2 3 2 8" xfId="1768" xr:uid="{00000000-0005-0000-0000-00004B190000}"/>
    <cellStyle name="Normal 31 2 3 2 8 2" xfId="5628" xr:uid="{00000000-0005-0000-0000-00004C190000}"/>
    <cellStyle name="Normal 31 2 3 2 8 3" xfId="10562" xr:uid="{00000000-0005-0000-0000-00004D190000}"/>
    <cellStyle name="Normal 31 2 3 2 9" xfId="2995" xr:uid="{00000000-0005-0000-0000-00004E190000}"/>
    <cellStyle name="Normal 31 2 3 2 9 2" xfId="6852" xr:uid="{00000000-0005-0000-0000-00004F190000}"/>
    <cellStyle name="Normal 31 2 3 2 9 3" xfId="11822" xr:uid="{00000000-0005-0000-0000-000050190000}"/>
    <cellStyle name="Normal 31 2 3 3" xfId="567" xr:uid="{00000000-0005-0000-0000-000051190000}"/>
    <cellStyle name="Normal 31 2 3 3 2" xfId="748" xr:uid="{00000000-0005-0000-0000-000052190000}"/>
    <cellStyle name="Normal 31 2 3 3 2 2" xfId="1098" xr:uid="{00000000-0005-0000-0000-000053190000}"/>
    <cellStyle name="Normal 31 2 3 3 2 2 2" xfId="1712" xr:uid="{00000000-0005-0000-0000-000054190000}"/>
    <cellStyle name="Normal 31 2 3 3 2 2 2 2" xfId="2938" xr:uid="{00000000-0005-0000-0000-000055190000}"/>
    <cellStyle name="Normal 31 2 3 3 2 2 2 2 2" xfId="6798" xr:uid="{00000000-0005-0000-0000-000056190000}"/>
    <cellStyle name="Normal 31 2 3 3 2 2 2 2 3" xfId="11750" xr:uid="{00000000-0005-0000-0000-000057190000}"/>
    <cellStyle name="Normal 31 2 3 3 2 2 2 3" xfId="4166" xr:uid="{00000000-0005-0000-0000-000058190000}"/>
    <cellStyle name="Normal 31 2 3 3 2 2 2 3 2" xfId="8022" xr:uid="{00000000-0005-0000-0000-000059190000}"/>
    <cellStyle name="Normal 31 2 3 3 2 2 2 3 3" xfId="10508" xr:uid="{00000000-0005-0000-0000-00005A190000}"/>
    <cellStyle name="Normal 31 2 3 3 2 2 2 4" xfId="5574" xr:uid="{00000000-0005-0000-0000-00005B190000}"/>
    <cellStyle name="Normal 31 2 3 3 2 2 2 5" xfId="9266" xr:uid="{00000000-0005-0000-0000-00005C190000}"/>
    <cellStyle name="Normal 31 2 3 3 2 2 3" xfId="2326" xr:uid="{00000000-0005-0000-0000-00005D190000}"/>
    <cellStyle name="Normal 31 2 3 3 2 2 3 2" xfId="6186" xr:uid="{00000000-0005-0000-0000-00005E190000}"/>
    <cellStyle name="Normal 31 2 3 3 2 2 3 3" xfId="11102" xr:uid="{00000000-0005-0000-0000-00005F190000}"/>
    <cellStyle name="Normal 31 2 3 3 2 2 4" xfId="3554" xr:uid="{00000000-0005-0000-0000-000060190000}"/>
    <cellStyle name="Normal 31 2 3 3 2 2 4 2" xfId="7410" xr:uid="{00000000-0005-0000-0000-000061190000}"/>
    <cellStyle name="Normal 31 2 3 3 2 2 4 3" xfId="9860" xr:uid="{00000000-0005-0000-0000-000062190000}"/>
    <cellStyle name="Normal 31 2 3 3 2 2 5" xfId="4962" xr:uid="{00000000-0005-0000-0000-000063190000}"/>
    <cellStyle name="Normal 31 2 3 3 2 2 6" xfId="8617" xr:uid="{00000000-0005-0000-0000-000064190000}"/>
    <cellStyle name="Normal 31 2 3 3 2 3" xfId="1406" xr:uid="{00000000-0005-0000-0000-000065190000}"/>
    <cellStyle name="Normal 31 2 3 3 2 3 2" xfId="2632" xr:uid="{00000000-0005-0000-0000-000066190000}"/>
    <cellStyle name="Normal 31 2 3 3 2 3 2 2" xfId="6492" xr:uid="{00000000-0005-0000-0000-000067190000}"/>
    <cellStyle name="Normal 31 2 3 3 2 3 2 3" xfId="11444" xr:uid="{00000000-0005-0000-0000-000068190000}"/>
    <cellStyle name="Normal 31 2 3 3 2 3 3" xfId="3860" xr:uid="{00000000-0005-0000-0000-000069190000}"/>
    <cellStyle name="Normal 31 2 3 3 2 3 3 2" xfId="7716" xr:uid="{00000000-0005-0000-0000-00006A190000}"/>
    <cellStyle name="Normal 31 2 3 3 2 3 3 3" xfId="10202" xr:uid="{00000000-0005-0000-0000-00006B190000}"/>
    <cellStyle name="Normal 31 2 3 3 2 3 4" xfId="5268" xr:uid="{00000000-0005-0000-0000-00006C190000}"/>
    <cellStyle name="Normal 31 2 3 3 2 3 5" xfId="8960" xr:uid="{00000000-0005-0000-0000-00006D190000}"/>
    <cellStyle name="Normal 31 2 3 3 2 4" xfId="2020" xr:uid="{00000000-0005-0000-0000-00006E190000}"/>
    <cellStyle name="Normal 31 2 3 3 2 4 2" xfId="5880" xr:uid="{00000000-0005-0000-0000-00006F190000}"/>
    <cellStyle name="Normal 31 2 3 3 2 4 3" xfId="10814" xr:uid="{00000000-0005-0000-0000-000070190000}"/>
    <cellStyle name="Normal 31 2 3 3 2 5" xfId="3247" xr:uid="{00000000-0005-0000-0000-000071190000}"/>
    <cellStyle name="Normal 31 2 3 3 2 5 2" xfId="7104" xr:uid="{00000000-0005-0000-0000-000072190000}"/>
    <cellStyle name="Normal 31 2 3 3 2 5 3" xfId="12020" xr:uid="{00000000-0005-0000-0000-000073190000}"/>
    <cellStyle name="Normal 31 2 3 3 2 6" xfId="4656" xr:uid="{00000000-0005-0000-0000-000074190000}"/>
    <cellStyle name="Normal 31 2 3 3 2 6 2" xfId="9572" xr:uid="{00000000-0005-0000-0000-000075190000}"/>
    <cellStyle name="Normal 31 2 3 3 2 7" xfId="8329" xr:uid="{00000000-0005-0000-0000-000076190000}"/>
    <cellStyle name="Normal 31 2 3 3 3" xfId="658" xr:uid="{00000000-0005-0000-0000-000077190000}"/>
    <cellStyle name="Normal 31 2 3 3 3 2" xfId="1008" xr:uid="{00000000-0005-0000-0000-000078190000}"/>
    <cellStyle name="Normal 31 2 3 3 3 2 2" xfId="1622" xr:uid="{00000000-0005-0000-0000-000079190000}"/>
    <cellStyle name="Normal 31 2 3 3 3 2 2 2" xfId="2848" xr:uid="{00000000-0005-0000-0000-00007A190000}"/>
    <cellStyle name="Normal 31 2 3 3 3 2 2 2 2" xfId="6708" xr:uid="{00000000-0005-0000-0000-00007B190000}"/>
    <cellStyle name="Normal 31 2 3 3 3 2 2 2 3" xfId="11660" xr:uid="{00000000-0005-0000-0000-00007C190000}"/>
    <cellStyle name="Normal 31 2 3 3 3 2 2 3" xfId="4076" xr:uid="{00000000-0005-0000-0000-00007D190000}"/>
    <cellStyle name="Normal 31 2 3 3 3 2 2 3 2" xfId="7932" xr:uid="{00000000-0005-0000-0000-00007E190000}"/>
    <cellStyle name="Normal 31 2 3 3 3 2 2 3 3" xfId="10418" xr:uid="{00000000-0005-0000-0000-00007F190000}"/>
    <cellStyle name="Normal 31 2 3 3 3 2 2 4" xfId="5484" xr:uid="{00000000-0005-0000-0000-000080190000}"/>
    <cellStyle name="Normal 31 2 3 3 3 2 2 5" xfId="9176" xr:uid="{00000000-0005-0000-0000-000081190000}"/>
    <cellStyle name="Normal 31 2 3 3 3 2 3" xfId="2236" xr:uid="{00000000-0005-0000-0000-000082190000}"/>
    <cellStyle name="Normal 31 2 3 3 3 2 3 2" xfId="6096" xr:uid="{00000000-0005-0000-0000-000083190000}"/>
    <cellStyle name="Normal 31 2 3 3 3 2 3 3" xfId="11012" xr:uid="{00000000-0005-0000-0000-000084190000}"/>
    <cellStyle name="Normal 31 2 3 3 3 2 4" xfId="3464" xr:uid="{00000000-0005-0000-0000-000085190000}"/>
    <cellStyle name="Normal 31 2 3 3 3 2 4 2" xfId="7320" xr:uid="{00000000-0005-0000-0000-000086190000}"/>
    <cellStyle name="Normal 31 2 3 3 3 2 4 3" xfId="9770" xr:uid="{00000000-0005-0000-0000-000087190000}"/>
    <cellStyle name="Normal 31 2 3 3 3 2 5" xfId="4872" xr:uid="{00000000-0005-0000-0000-000088190000}"/>
    <cellStyle name="Normal 31 2 3 3 3 2 6" xfId="8527" xr:uid="{00000000-0005-0000-0000-000089190000}"/>
    <cellStyle name="Normal 31 2 3 3 3 3" xfId="1316" xr:uid="{00000000-0005-0000-0000-00008A190000}"/>
    <cellStyle name="Normal 31 2 3 3 3 3 2" xfId="2542" xr:uid="{00000000-0005-0000-0000-00008B190000}"/>
    <cellStyle name="Normal 31 2 3 3 3 3 2 2" xfId="6402" xr:uid="{00000000-0005-0000-0000-00008C190000}"/>
    <cellStyle name="Normal 31 2 3 3 3 3 2 3" xfId="11354" xr:uid="{00000000-0005-0000-0000-00008D190000}"/>
    <cellStyle name="Normal 31 2 3 3 3 3 3" xfId="3770" xr:uid="{00000000-0005-0000-0000-00008E190000}"/>
    <cellStyle name="Normal 31 2 3 3 3 3 3 2" xfId="7626" xr:uid="{00000000-0005-0000-0000-00008F190000}"/>
    <cellStyle name="Normal 31 2 3 3 3 3 3 3" xfId="10112" xr:uid="{00000000-0005-0000-0000-000090190000}"/>
    <cellStyle name="Normal 31 2 3 3 3 3 4" xfId="5178" xr:uid="{00000000-0005-0000-0000-000091190000}"/>
    <cellStyle name="Normal 31 2 3 3 3 3 5" xfId="8870" xr:uid="{00000000-0005-0000-0000-000092190000}"/>
    <cellStyle name="Normal 31 2 3 3 3 4" xfId="1930" xr:uid="{00000000-0005-0000-0000-000093190000}"/>
    <cellStyle name="Normal 31 2 3 3 3 4 2" xfId="5790" xr:uid="{00000000-0005-0000-0000-000094190000}"/>
    <cellStyle name="Normal 31 2 3 3 3 4 3" xfId="10724" xr:uid="{00000000-0005-0000-0000-000095190000}"/>
    <cellStyle name="Normal 31 2 3 3 3 5" xfId="3157" xr:uid="{00000000-0005-0000-0000-000096190000}"/>
    <cellStyle name="Normal 31 2 3 3 3 5 2" xfId="7014" xr:uid="{00000000-0005-0000-0000-000097190000}"/>
    <cellStyle name="Normal 31 2 3 3 3 5 3" xfId="11930" xr:uid="{00000000-0005-0000-0000-000098190000}"/>
    <cellStyle name="Normal 31 2 3 3 3 6" xfId="4566" xr:uid="{00000000-0005-0000-0000-000099190000}"/>
    <cellStyle name="Normal 31 2 3 3 3 6 2" xfId="9482" xr:uid="{00000000-0005-0000-0000-00009A190000}"/>
    <cellStyle name="Normal 31 2 3 3 3 7" xfId="8239" xr:uid="{00000000-0005-0000-0000-00009B190000}"/>
    <cellStyle name="Normal 31 2 3 3 4" xfId="917" xr:uid="{00000000-0005-0000-0000-00009C190000}"/>
    <cellStyle name="Normal 31 2 3 3 4 2" xfId="1532" xr:uid="{00000000-0005-0000-0000-00009D190000}"/>
    <cellStyle name="Normal 31 2 3 3 4 2 2" xfId="2758" xr:uid="{00000000-0005-0000-0000-00009E190000}"/>
    <cellStyle name="Normal 31 2 3 3 4 2 2 2" xfId="6618" xr:uid="{00000000-0005-0000-0000-00009F190000}"/>
    <cellStyle name="Normal 31 2 3 3 4 2 2 3" xfId="11570" xr:uid="{00000000-0005-0000-0000-0000A0190000}"/>
    <cellStyle name="Normal 31 2 3 3 4 2 3" xfId="3986" xr:uid="{00000000-0005-0000-0000-0000A1190000}"/>
    <cellStyle name="Normal 31 2 3 3 4 2 3 2" xfId="7842" xr:uid="{00000000-0005-0000-0000-0000A2190000}"/>
    <cellStyle name="Normal 31 2 3 3 4 2 3 3" xfId="10328" xr:uid="{00000000-0005-0000-0000-0000A3190000}"/>
    <cellStyle name="Normal 31 2 3 3 4 2 4" xfId="5394" xr:uid="{00000000-0005-0000-0000-0000A4190000}"/>
    <cellStyle name="Normal 31 2 3 3 4 2 5" xfId="9086" xr:uid="{00000000-0005-0000-0000-0000A5190000}"/>
    <cellStyle name="Normal 31 2 3 3 4 3" xfId="2146" xr:uid="{00000000-0005-0000-0000-0000A6190000}"/>
    <cellStyle name="Normal 31 2 3 3 4 3 2" xfId="6006" xr:uid="{00000000-0005-0000-0000-0000A7190000}"/>
    <cellStyle name="Normal 31 2 3 3 4 3 3" xfId="10922" xr:uid="{00000000-0005-0000-0000-0000A8190000}"/>
    <cellStyle name="Normal 31 2 3 3 4 4" xfId="3374" xr:uid="{00000000-0005-0000-0000-0000A9190000}"/>
    <cellStyle name="Normal 31 2 3 3 4 4 2" xfId="7230" xr:uid="{00000000-0005-0000-0000-0000AA190000}"/>
    <cellStyle name="Normal 31 2 3 3 4 4 3" xfId="9680" xr:uid="{00000000-0005-0000-0000-0000AB190000}"/>
    <cellStyle name="Normal 31 2 3 3 4 5" xfId="4782" xr:uid="{00000000-0005-0000-0000-0000AC190000}"/>
    <cellStyle name="Normal 31 2 3 3 4 6" xfId="8437" xr:uid="{00000000-0005-0000-0000-0000AD190000}"/>
    <cellStyle name="Normal 31 2 3 3 5" xfId="1226" xr:uid="{00000000-0005-0000-0000-0000AE190000}"/>
    <cellStyle name="Normal 31 2 3 3 5 2" xfId="2452" xr:uid="{00000000-0005-0000-0000-0000AF190000}"/>
    <cellStyle name="Normal 31 2 3 3 5 2 2" xfId="6312" xr:uid="{00000000-0005-0000-0000-0000B0190000}"/>
    <cellStyle name="Normal 31 2 3 3 5 2 3" xfId="11264" xr:uid="{00000000-0005-0000-0000-0000B1190000}"/>
    <cellStyle name="Normal 31 2 3 3 5 3" xfId="3680" xr:uid="{00000000-0005-0000-0000-0000B2190000}"/>
    <cellStyle name="Normal 31 2 3 3 5 3 2" xfId="7536" xr:uid="{00000000-0005-0000-0000-0000B3190000}"/>
    <cellStyle name="Normal 31 2 3 3 5 3 3" xfId="10022" xr:uid="{00000000-0005-0000-0000-0000B4190000}"/>
    <cellStyle name="Normal 31 2 3 3 5 4" xfId="5088" xr:uid="{00000000-0005-0000-0000-0000B5190000}"/>
    <cellStyle name="Normal 31 2 3 3 5 5" xfId="8780" xr:uid="{00000000-0005-0000-0000-0000B6190000}"/>
    <cellStyle name="Normal 31 2 3 3 6" xfId="1840" xr:uid="{00000000-0005-0000-0000-0000B7190000}"/>
    <cellStyle name="Normal 31 2 3 3 6 2" xfId="5700" xr:uid="{00000000-0005-0000-0000-0000B8190000}"/>
    <cellStyle name="Normal 31 2 3 3 6 3" xfId="10634" xr:uid="{00000000-0005-0000-0000-0000B9190000}"/>
    <cellStyle name="Normal 31 2 3 3 7" xfId="3067" xr:uid="{00000000-0005-0000-0000-0000BA190000}"/>
    <cellStyle name="Normal 31 2 3 3 7 2" xfId="6924" xr:uid="{00000000-0005-0000-0000-0000BB190000}"/>
    <cellStyle name="Normal 31 2 3 3 7 3" xfId="11840" xr:uid="{00000000-0005-0000-0000-0000BC190000}"/>
    <cellStyle name="Normal 31 2 3 3 8" xfId="4476" xr:uid="{00000000-0005-0000-0000-0000BD190000}"/>
    <cellStyle name="Normal 31 2 3 3 8 2" xfId="9392" xr:uid="{00000000-0005-0000-0000-0000BE190000}"/>
    <cellStyle name="Normal 31 2 3 3 9" xfId="8149" xr:uid="{00000000-0005-0000-0000-0000BF190000}"/>
    <cellStyle name="Normal 31 2 3 4" xfId="510" xr:uid="{00000000-0005-0000-0000-0000C0190000}"/>
    <cellStyle name="Normal 31 2 3 4 2" xfId="712" xr:uid="{00000000-0005-0000-0000-0000C1190000}"/>
    <cellStyle name="Normal 31 2 3 4 2 2" xfId="1062" xr:uid="{00000000-0005-0000-0000-0000C2190000}"/>
    <cellStyle name="Normal 31 2 3 4 2 2 2" xfId="1676" xr:uid="{00000000-0005-0000-0000-0000C3190000}"/>
    <cellStyle name="Normal 31 2 3 4 2 2 2 2" xfId="2902" xr:uid="{00000000-0005-0000-0000-0000C4190000}"/>
    <cellStyle name="Normal 31 2 3 4 2 2 2 2 2" xfId="6762" xr:uid="{00000000-0005-0000-0000-0000C5190000}"/>
    <cellStyle name="Normal 31 2 3 4 2 2 2 2 3" xfId="11714" xr:uid="{00000000-0005-0000-0000-0000C6190000}"/>
    <cellStyle name="Normal 31 2 3 4 2 2 2 3" xfId="4130" xr:uid="{00000000-0005-0000-0000-0000C7190000}"/>
    <cellStyle name="Normal 31 2 3 4 2 2 2 3 2" xfId="7986" xr:uid="{00000000-0005-0000-0000-0000C8190000}"/>
    <cellStyle name="Normal 31 2 3 4 2 2 2 3 3" xfId="10472" xr:uid="{00000000-0005-0000-0000-0000C9190000}"/>
    <cellStyle name="Normal 31 2 3 4 2 2 2 4" xfId="5538" xr:uid="{00000000-0005-0000-0000-0000CA190000}"/>
    <cellStyle name="Normal 31 2 3 4 2 2 2 5" xfId="9230" xr:uid="{00000000-0005-0000-0000-0000CB190000}"/>
    <cellStyle name="Normal 31 2 3 4 2 2 3" xfId="2290" xr:uid="{00000000-0005-0000-0000-0000CC190000}"/>
    <cellStyle name="Normal 31 2 3 4 2 2 3 2" xfId="6150" xr:uid="{00000000-0005-0000-0000-0000CD190000}"/>
    <cellStyle name="Normal 31 2 3 4 2 2 3 3" xfId="11066" xr:uid="{00000000-0005-0000-0000-0000CE190000}"/>
    <cellStyle name="Normal 31 2 3 4 2 2 4" xfId="3518" xr:uid="{00000000-0005-0000-0000-0000CF190000}"/>
    <cellStyle name="Normal 31 2 3 4 2 2 4 2" xfId="7374" xr:uid="{00000000-0005-0000-0000-0000D0190000}"/>
    <cellStyle name="Normal 31 2 3 4 2 2 4 3" xfId="9824" xr:uid="{00000000-0005-0000-0000-0000D1190000}"/>
    <cellStyle name="Normal 31 2 3 4 2 2 5" xfId="4926" xr:uid="{00000000-0005-0000-0000-0000D2190000}"/>
    <cellStyle name="Normal 31 2 3 4 2 2 6" xfId="8581" xr:uid="{00000000-0005-0000-0000-0000D3190000}"/>
    <cellStyle name="Normal 31 2 3 4 2 3" xfId="1370" xr:uid="{00000000-0005-0000-0000-0000D4190000}"/>
    <cellStyle name="Normal 31 2 3 4 2 3 2" xfId="2596" xr:uid="{00000000-0005-0000-0000-0000D5190000}"/>
    <cellStyle name="Normal 31 2 3 4 2 3 2 2" xfId="6456" xr:uid="{00000000-0005-0000-0000-0000D6190000}"/>
    <cellStyle name="Normal 31 2 3 4 2 3 2 3" xfId="11408" xr:uid="{00000000-0005-0000-0000-0000D7190000}"/>
    <cellStyle name="Normal 31 2 3 4 2 3 3" xfId="3824" xr:uid="{00000000-0005-0000-0000-0000D8190000}"/>
    <cellStyle name="Normal 31 2 3 4 2 3 3 2" xfId="7680" xr:uid="{00000000-0005-0000-0000-0000D9190000}"/>
    <cellStyle name="Normal 31 2 3 4 2 3 3 3" xfId="10166" xr:uid="{00000000-0005-0000-0000-0000DA190000}"/>
    <cellStyle name="Normal 31 2 3 4 2 3 4" xfId="5232" xr:uid="{00000000-0005-0000-0000-0000DB190000}"/>
    <cellStyle name="Normal 31 2 3 4 2 3 5" xfId="8924" xr:uid="{00000000-0005-0000-0000-0000DC190000}"/>
    <cellStyle name="Normal 31 2 3 4 2 4" xfId="1984" xr:uid="{00000000-0005-0000-0000-0000DD190000}"/>
    <cellStyle name="Normal 31 2 3 4 2 4 2" xfId="5844" xr:uid="{00000000-0005-0000-0000-0000DE190000}"/>
    <cellStyle name="Normal 31 2 3 4 2 4 3" xfId="10778" xr:uid="{00000000-0005-0000-0000-0000DF190000}"/>
    <cellStyle name="Normal 31 2 3 4 2 5" xfId="3211" xr:uid="{00000000-0005-0000-0000-0000E0190000}"/>
    <cellStyle name="Normal 31 2 3 4 2 5 2" xfId="7068" xr:uid="{00000000-0005-0000-0000-0000E1190000}"/>
    <cellStyle name="Normal 31 2 3 4 2 5 3" xfId="11984" xr:uid="{00000000-0005-0000-0000-0000E2190000}"/>
    <cellStyle name="Normal 31 2 3 4 2 6" xfId="4620" xr:uid="{00000000-0005-0000-0000-0000E3190000}"/>
    <cellStyle name="Normal 31 2 3 4 2 6 2" xfId="9536" xr:uid="{00000000-0005-0000-0000-0000E4190000}"/>
    <cellStyle name="Normal 31 2 3 4 2 7" xfId="8293" xr:uid="{00000000-0005-0000-0000-0000E5190000}"/>
    <cellStyle name="Normal 31 2 3 4 3" xfId="622" xr:uid="{00000000-0005-0000-0000-0000E6190000}"/>
    <cellStyle name="Normal 31 2 3 4 3 2" xfId="972" xr:uid="{00000000-0005-0000-0000-0000E7190000}"/>
    <cellStyle name="Normal 31 2 3 4 3 2 2" xfId="1586" xr:uid="{00000000-0005-0000-0000-0000E8190000}"/>
    <cellStyle name="Normal 31 2 3 4 3 2 2 2" xfId="2812" xr:uid="{00000000-0005-0000-0000-0000E9190000}"/>
    <cellStyle name="Normal 31 2 3 4 3 2 2 2 2" xfId="6672" xr:uid="{00000000-0005-0000-0000-0000EA190000}"/>
    <cellStyle name="Normal 31 2 3 4 3 2 2 2 3" xfId="11624" xr:uid="{00000000-0005-0000-0000-0000EB190000}"/>
    <cellStyle name="Normal 31 2 3 4 3 2 2 3" xfId="4040" xr:uid="{00000000-0005-0000-0000-0000EC190000}"/>
    <cellStyle name="Normal 31 2 3 4 3 2 2 3 2" xfId="7896" xr:uid="{00000000-0005-0000-0000-0000ED190000}"/>
    <cellStyle name="Normal 31 2 3 4 3 2 2 3 3" xfId="10382" xr:uid="{00000000-0005-0000-0000-0000EE190000}"/>
    <cellStyle name="Normal 31 2 3 4 3 2 2 4" xfId="5448" xr:uid="{00000000-0005-0000-0000-0000EF190000}"/>
    <cellStyle name="Normal 31 2 3 4 3 2 2 5" xfId="9140" xr:uid="{00000000-0005-0000-0000-0000F0190000}"/>
    <cellStyle name="Normal 31 2 3 4 3 2 3" xfId="2200" xr:uid="{00000000-0005-0000-0000-0000F1190000}"/>
    <cellStyle name="Normal 31 2 3 4 3 2 3 2" xfId="6060" xr:uid="{00000000-0005-0000-0000-0000F2190000}"/>
    <cellStyle name="Normal 31 2 3 4 3 2 3 3" xfId="10976" xr:uid="{00000000-0005-0000-0000-0000F3190000}"/>
    <cellStyle name="Normal 31 2 3 4 3 2 4" xfId="3428" xr:uid="{00000000-0005-0000-0000-0000F4190000}"/>
    <cellStyle name="Normal 31 2 3 4 3 2 4 2" xfId="7284" xr:uid="{00000000-0005-0000-0000-0000F5190000}"/>
    <cellStyle name="Normal 31 2 3 4 3 2 4 3" xfId="9734" xr:uid="{00000000-0005-0000-0000-0000F6190000}"/>
    <cellStyle name="Normal 31 2 3 4 3 2 5" xfId="4836" xr:uid="{00000000-0005-0000-0000-0000F7190000}"/>
    <cellStyle name="Normal 31 2 3 4 3 2 6" xfId="8491" xr:uid="{00000000-0005-0000-0000-0000F8190000}"/>
    <cellStyle name="Normal 31 2 3 4 3 3" xfId="1280" xr:uid="{00000000-0005-0000-0000-0000F9190000}"/>
    <cellStyle name="Normal 31 2 3 4 3 3 2" xfId="2506" xr:uid="{00000000-0005-0000-0000-0000FA190000}"/>
    <cellStyle name="Normal 31 2 3 4 3 3 2 2" xfId="6366" xr:uid="{00000000-0005-0000-0000-0000FB190000}"/>
    <cellStyle name="Normal 31 2 3 4 3 3 2 3" xfId="11318" xr:uid="{00000000-0005-0000-0000-0000FC190000}"/>
    <cellStyle name="Normal 31 2 3 4 3 3 3" xfId="3734" xr:uid="{00000000-0005-0000-0000-0000FD190000}"/>
    <cellStyle name="Normal 31 2 3 4 3 3 3 2" xfId="7590" xr:uid="{00000000-0005-0000-0000-0000FE190000}"/>
    <cellStyle name="Normal 31 2 3 4 3 3 3 3" xfId="10076" xr:uid="{00000000-0005-0000-0000-0000FF190000}"/>
    <cellStyle name="Normal 31 2 3 4 3 3 4" xfId="5142" xr:uid="{00000000-0005-0000-0000-0000001A0000}"/>
    <cellStyle name="Normal 31 2 3 4 3 3 5" xfId="8834" xr:uid="{00000000-0005-0000-0000-0000011A0000}"/>
    <cellStyle name="Normal 31 2 3 4 3 4" xfId="1894" xr:uid="{00000000-0005-0000-0000-0000021A0000}"/>
    <cellStyle name="Normal 31 2 3 4 3 4 2" xfId="5754" xr:uid="{00000000-0005-0000-0000-0000031A0000}"/>
    <cellStyle name="Normal 31 2 3 4 3 4 3" xfId="10688" xr:uid="{00000000-0005-0000-0000-0000041A0000}"/>
    <cellStyle name="Normal 31 2 3 4 3 5" xfId="3121" xr:uid="{00000000-0005-0000-0000-0000051A0000}"/>
    <cellStyle name="Normal 31 2 3 4 3 5 2" xfId="6978" xr:uid="{00000000-0005-0000-0000-0000061A0000}"/>
    <cellStyle name="Normal 31 2 3 4 3 5 3" xfId="11894" xr:uid="{00000000-0005-0000-0000-0000071A0000}"/>
    <cellStyle name="Normal 31 2 3 4 3 6" xfId="4530" xr:uid="{00000000-0005-0000-0000-0000081A0000}"/>
    <cellStyle name="Normal 31 2 3 4 3 6 2" xfId="9446" xr:uid="{00000000-0005-0000-0000-0000091A0000}"/>
    <cellStyle name="Normal 31 2 3 4 3 7" xfId="8203" xr:uid="{00000000-0005-0000-0000-00000A1A0000}"/>
    <cellStyle name="Normal 31 2 3 4 4" xfId="860" xr:uid="{00000000-0005-0000-0000-00000B1A0000}"/>
    <cellStyle name="Normal 31 2 3 4 4 2" xfId="1496" xr:uid="{00000000-0005-0000-0000-00000C1A0000}"/>
    <cellStyle name="Normal 31 2 3 4 4 2 2" xfId="2722" xr:uid="{00000000-0005-0000-0000-00000D1A0000}"/>
    <cellStyle name="Normal 31 2 3 4 4 2 2 2" xfId="6582" xr:uid="{00000000-0005-0000-0000-00000E1A0000}"/>
    <cellStyle name="Normal 31 2 3 4 4 2 2 3" xfId="11534" xr:uid="{00000000-0005-0000-0000-00000F1A0000}"/>
    <cellStyle name="Normal 31 2 3 4 4 2 3" xfId="3950" xr:uid="{00000000-0005-0000-0000-0000101A0000}"/>
    <cellStyle name="Normal 31 2 3 4 4 2 3 2" xfId="7806" xr:uid="{00000000-0005-0000-0000-0000111A0000}"/>
    <cellStyle name="Normal 31 2 3 4 4 2 3 3" xfId="10292" xr:uid="{00000000-0005-0000-0000-0000121A0000}"/>
    <cellStyle name="Normal 31 2 3 4 4 2 4" xfId="5358" xr:uid="{00000000-0005-0000-0000-0000131A0000}"/>
    <cellStyle name="Normal 31 2 3 4 4 2 5" xfId="9050" xr:uid="{00000000-0005-0000-0000-0000141A0000}"/>
    <cellStyle name="Normal 31 2 3 4 4 3" xfId="2110" xr:uid="{00000000-0005-0000-0000-0000151A0000}"/>
    <cellStyle name="Normal 31 2 3 4 4 3 2" xfId="5970" xr:uid="{00000000-0005-0000-0000-0000161A0000}"/>
    <cellStyle name="Normal 31 2 3 4 4 3 3" xfId="10886" xr:uid="{00000000-0005-0000-0000-0000171A0000}"/>
    <cellStyle name="Normal 31 2 3 4 4 4" xfId="3338" xr:uid="{00000000-0005-0000-0000-0000181A0000}"/>
    <cellStyle name="Normal 31 2 3 4 4 4 2" xfId="7194" xr:uid="{00000000-0005-0000-0000-0000191A0000}"/>
    <cellStyle name="Normal 31 2 3 4 4 4 3" xfId="9644" xr:uid="{00000000-0005-0000-0000-00001A1A0000}"/>
    <cellStyle name="Normal 31 2 3 4 4 5" xfId="4746" xr:uid="{00000000-0005-0000-0000-00001B1A0000}"/>
    <cellStyle name="Normal 31 2 3 4 4 6" xfId="8401" xr:uid="{00000000-0005-0000-0000-00001C1A0000}"/>
    <cellStyle name="Normal 31 2 3 4 5" xfId="1190" xr:uid="{00000000-0005-0000-0000-00001D1A0000}"/>
    <cellStyle name="Normal 31 2 3 4 5 2" xfId="2416" xr:uid="{00000000-0005-0000-0000-00001E1A0000}"/>
    <cellStyle name="Normal 31 2 3 4 5 2 2" xfId="6276" xr:uid="{00000000-0005-0000-0000-00001F1A0000}"/>
    <cellStyle name="Normal 31 2 3 4 5 2 3" xfId="11228" xr:uid="{00000000-0005-0000-0000-0000201A0000}"/>
    <cellStyle name="Normal 31 2 3 4 5 3" xfId="3644" xr:uid="{00000000-0005-0000-0000-0000211A0000}"/>
    <cellStyle name="Normal 31 2 3 4 5 3 2" xfId="7500" xr:uid="{00000000-0005-0000-0000-0000221A0000}"/>
    <cellStyle name="Normal 31 2 3 4 5 3 3" xfId="9986" xr:uid="{00000000-0005-0000-0000-0000231A0000}"/>
    <cellStyle name="Normal 31 2 3 4 5 4" xfId="5052" xr:uid="{00000000-0005-0000-0000-0000241A0000}"/>
    <cellStyle name="Normal 31 2 3 4 5 5" xfId="8744" xr:uid="{00000000-0005-0000-0000-0000251A0000}"/>
    <cellStyle name="Normal 31 2 3 4 6" xfId="1804" xr:uid="{00000000-0005-0000-0000-0000261A0000}"/>
    <cellStyle name="Normal 31 2 3 4 6 2" xfId="5664" xr:uid="{00000000-0005-0000-0000-0000271A0000}"/>
    <cellStyle name="Normal 31 2 3 4 6 3" xfId="10598" xr:uid="{00000000-0005-0000-0000-0000281A0000}"/>
    <cellStyle name="Normal 31 2 3 4 7" xfId="3031" xr:uid="{00000000-0005-0000-0000-0000291A0000}"/>
    <cellStyle name="Normal 31 2 3 4 7 2" xfId="6888" xr:uid="{00000000-0005-0000-0000-00002A1A0000}"/>
    <cellStyle name="Normal 31 2 3 4 7 3" xfId="11804" xr:uid="{00000000-0005-0000-0000-00002B1A0000}"/>
    <cellStyle name="Normal 31 2 3 4 8" xfId="4440" xr:uid="{00000000-0005-0000-0000-00002C1A0000}"/>
    <cellStyle name="Normal 31 2 3 4 8 2" xfId="9356" xr:uid="{00000000-0005-0000-0000-00002D1A0000}"/>
    <cellStyle name="Normal 31 2 3 4 9" xfId="8113" xr:uid="{00000000-0005-0000-0000-00002E1A0000}"/>
    <cellStyle name="Normal 31 2 3 5" xfId="694" xr:uid="{00000000-0005-0000-0000-00002F1A0000}"/>
    <cellStyle name="Normal 31 2 3 5 2" xfId="1044" xr:uid="{00000000-0005-0000-0000-0000301A0000}"/>
    <cellStyle name="Normal 31 2 3 5 2 2" xfId="1658" xr:uid="{00000000-0005-0000-0000-0000311A0000}"/>
    <cellStyle name="Normal 31 2 3 5 2 2 2" xfId="2884" xr:uid="{00000000-0005-0000-0000-0000321A0000}"/>
    <cellStyle name="Normal 31 2 3 5 2 2 2 2" xfId="6744" xr:uid="{00000000-0005-0000-0000-0000331A0000}"/>
    <cellStyle name="Normal 31 2 3 5 2 2 2 3" xfId="11696" xr:uid="{00000000-0005-0000-0000-0000341A0000}"/>
    <cellStyle name="Normal 31 2 3 5 2 2 3" xfId="4112" xr:uid="{00000000-0005-0000-0000-0000351A0000}"/>
    <cellStyle name="Normal 31 2 3 5 2 2 3 2" xfId="7968" xr:uid="{00000000-0005-0000-0000-0000361A0000}"/>
    <cellStyle name="Normal 31 2 3 5 2 2 3 3" xfId="10454" xr:uid="{00000000-0005-0000-0000-0000371A0000}"/>
    <cellStyle name="Normal 31 2 3 5 2 2 4" xfId="5520" xr:uid="{00000000-0005-0000-0000-0000381A0000}"/>
    <cellStyle name="Normal 31 2 3 5 2 2 5" xfId="9212" xr:uid="{00000000-0005-0000-0000-0000391A0000}"/>
    <cellStyle name="Normal 31 2 3 5 2 3" xfId="2272" xr:uid="{00000000-0005-0000-0000-00003A1A0000}"/>
    <cellStyle name="Normal 31 2 3 5 2 3 2" xfId="6132" xr:uid="{00000000-0005-0000-0000-00003B1A0000}"/>
    <cellStyle name="Normal 31 2 3 5 2 3 3" xfId="11048" xr:uid="{00000000-0005-0000-0000-00003C1A0000}"/>
    <cellStyle name="Normal 31 2 3 5 2 4" xfId="3500" xr:uid="{00000000-0005-0000-0000-00003D1A0000}"/>
    <cellStyle name="Normal 31 2 3 5 2 4 2" xfId="7356" xr:uid="{00000000-0005-0000-0000-00003E1A0000}"/>
    <cellStyle name="Normal 31 2 3 5 2 4 3" xfId="9806" xr:uid="{00000000-0005-0000-0000-00003F1A0000}"/>
    <cellStyle name="Normal 31 2 3 5 2 5" xfId="4908" xr:uid="{00000000-0005-0000-0000-0000401A0000}"/>
    <cellStyle name="Normal 31 2 3 5 2 6" xfId="8563" xr:uid="{00000000-0005-0000-0000-0000411A0000}"/>
    <cellStyle name="Normal 31 2 3 5 3" xfId="1352" xr:uid="{00000000-0005-0000-0000-0000421A0000}"/>
    <cellStyle name="Normal 31 2 3 5 3 2" xfId="2578" xr:uid="{00000000-0005-0000-0000-0000431A0000}"/>
    <cellStyle name="Normal 31 2 3 5 3 2 2" xfId="6438" xr:uid="{00000000-0005-0000-0000-0000441A0000}"/>
    <cellStyle name="Normal 31 2 3 5 3 2 3" xfId="11390" xr:uid="{00000000-0005-0000-0000-0000451A0000}"/>
    <cellStyle name="Normal 31 2 3 5 3 3" xfId="3806" xr:uid="{00000000-0005-0000-0000-0000461A0000}"/>
    <cellStyle name="Normal 31 2 3 5 3 3 2" xfId="7662" xr:uid="{00000000-0005-0000-0000-0000471A0000}"/>
    <cellStyle name="Normal 31 2 3 5 3 3 3" xfId="10148" xr:uid="{00000000-0005-0000-0000-0000481A0000}"/>
    <cellStyle name="Normal 31 2 3 5 3 4" xfId="5214" xr:uid="{00000000-0005-0000-0000-0000491A0000}"/>
    <cellStyle name="Normal 31 2 3 5 3 5" xfId="8906" xr:uid="{00000000-0005-0000-0000-00004A1A0000}"/>
    <cellStyle name="Normal 31 2 3 5 4" xfId="1966" xr:uid="{00000000-0005-0000-0000-00004B1A0000}"/>
    <cellStyle name="Normal 31 2 3 5 4 2" xfId="5826" xr:uid="{00000000-0005-0000-0000-00004C1A0000}"/>
    <cellStyle name="Normal 31 2 3 5 4 3" xfId="10760" xr:uid="{00000000-0005-0000-0000-00004D1A0000}"/>
    <cellStyle name="Normal 31 2 3 5 5" xfId="3193" xr:uid="{00000000-0005-0000-0000-00004E1A0000}"/>
    <cellStyle name="Normal 31 2 3 5 5 2" xfId="7050" xr:uid="{00000000-0005-0000-0000-00004F1A0000}"/>
    <cellStyle name="Normal 31 2 3 5 5 3" xfId="11966" xr:uid="{00000000-0005-0000-0000-0000501A0000}"/>
    <cellStyle name="Normal 31 2 3 5 6" xfId="4602" xr:uid="{00000000-0005-0000-0000-0000511A0000}"/>
    <cellStyle name="Normal 31 2 3 5 6 2" xfId="9518" xr:uid="{00000000-0005-0000-0000-0000521A0000}"/>
    <cellStyle name="Normal 31 2 3 5 7" xfId="8275" xr:uid="{00000000-0005-0000-0000-0000531A0000}"/>
    <cellStyle name="Normal 31 2 3 6" xfId="604" xr:uid="{00000000-0005-0000-0000-0000541A0000}"/>
    <cellStyle name="Normal 31 2 3 6 2" xfId="954" xr:uid="{00000000-0005-0000-0000-0000551A0000}"/>
    <cellStyle name="Normal 31 2 3 6 2 2" xfId="1568" xr:uid="{00000000-0005-0000-0000-0000561A0000}"/>
    <cellStyle name="Normal 31 2 3 6 2 2 2" xfId="2794" xr:uid="{00000000-0005-0000-0000-0000571A0000}"/>
    <cellStyle name="Normal 31 2 3 6 2 2 2 2" xfId="6654" xr:uid="{00000000-0005-0000-0000-0000581A0000}"/>
    <cellStyle name="Normal 31 2 3 6 2 2 2 3" xfId="11606" xr:uid="{00000000-0005-0000-0000-0000591A0000}"/>
    <cellStyle name="Normal 31 2 3 6 2 2 3" xfId="4022" xr:uid="{00000000-0005-0000-0000-00005A1A0000}"/>
    <cellStyle name="Normal 31 2 3 6 2 2 3 2" xfId="7878" xr:uid="{00000000-0005-0000-0000-00005B1A0000}"/>
    <cellStyle name="Normal 31 2 3 6 2 2 3 3" xfId="10364" xr:uid="{00000000-0005-0000-0000-00005C1A0000}"/>
    <cellStyle name="Normal 31 2 3 6 2 2 4" xfId="5430" xr:uid="{00000000-0005-0000-0000-00005D1A0000}"/>
    <cellStyle name="Normal 31 2 3 6 2 2 5" xfId="9122" xr:uid="{00000000-0005-0000-0000-00005E1A0000}"/>
    <cellStyle name="Normal 31 2 3 6 2 3" xfId="2182" xr:uid="{00000000-0005-0000-0000-00005F1A0000}"/>
    <cellStyle name="Normal 31 2 3 6 2 3 2" xfId="6042" xr:uid="{00000000-0005-0000-0000-0000601A0000}"/>
    <cellStyle name="Normal 31 2 3 6 2 3 3" xfId="10958" xr:uid="{00000000-0005-0000-0000-0000611A0000}"/>
    <cellStyle name="Normal 31 2 3 6 2 4" xfId="3410" xr:uid="{00000000-0005-0000-0000-0000621A0000}"/>
    <cellStyle name="Normal 31 2 3 6 2 4 2" xfId="7266" xr:uid="{00000000-0005-0000-0000-0000631A0000}"/>
    <cellStyle name="Normal 31 2 3 6 2 4 3" xfId="9716" xr:uid="{00000000-0005-0000-0000-0000641A0000}"/>
    <cellStyle name="Normal 31 2 3 6 2 5" xfId="4818" xr:uid="{00000000-0005-0000-0000-0000651A0000}"/>
    <cellStyle name="Normal 31 2 3 6 2 6" xfId="8473" xr:uid="{00000000-0005-0000-0000-0000661A0000}"/>
    <cellStyle name="Normal 31 2 3 6 3" xfId="1262" xr:uid="{00000000-0005-0000-0000-0000671A0000}"/>
    <cellStyle name="Normal 31 2 3 6 3 2" xfId="2488" xr:uid="{00000000-0005-0000-0000-0000681A0000}"/>
    <cellStyle name="Normal 31 2 3 6 3 2 2" xfId="6348" xr:uid="{00000000-0005-0000-0000-0000691A0000}"/>
    <cellStyle name="Normal 31 2 3 6 3 2 3" xfId="11300" xr:uid="{00000000-0005-0000-0000-00006A1A0000}"/>
    <cellStyle name="Normal 31 2 3 6 3 3" xfId="3716" xr:uid="{00000000-0005-0000-0000-00006B1A0000}"/>
    <cellStyle name="Normal 31 2 3 6 3 3 2" xfId="7572" xr:uid="{00000000-0005-0000-0000-00006C1A0000}"/>
    <cellStyle name="Normal 31 2 3 6 3 3 3" xfId="10058" xr:uid="{00000000-0005-0000-0000-00006D1A0000}"/>
    <cellStyle name="Normal 31 2 3 6 3 4" xfId="5124" xr:uid="{00000000-0005-0000-0000-00006E1A0000}"/>
    <cellStyle name="Normal 31 2 3 6 3 5" xfId="8816" xr:uid="{00000000-0005-0000-0000-00006F1A0000}"/>
    <cellStyle name="Normal 31 2 3 6 4" xfId="1876" xr:uid="{00000000-0005-0000-0000-0000701A0000}"/>
    <cellStyle name="Normal 31 2 3 6 4 2" xfId="5736" xr:uid="{00000000-0005-0000-0000-0000711A0000}"/>
    <cellStyle name="Normal 31 2 3 6 4 3" xfId="10670" xr:uid="{00000000-0005-0000-0000-0000721A0000}"/>
    <cellStyle name="Normal 31 2 3 6 5" xfId="3103" xr:uid="{00000000-0005-0000-0000-0000731A0000}"/>
    <cellStyle name="Normal 31 2 3 6 5 2" xfId="6960" xr:uid="{00000000-0005-0000-0000-0000741A0000}"/>
    <cellStyle name="Normal 31 2 3 6 5 3" xfId="11876" xr:uid="{00000000-0005-0000-0000-0000751A0000}"/>
    <cellStyle name="Normal 31 2 3 6 6" xfId="4512" xr:uid="{00000000-0005-0000-0000-0000761A0000}"/>
    <cellStyle name="Normal 31 2 3 6 6 2" xfId="9428" xr:uid="{00000000-0005-0000-0000-0000771A0000}"/>
    <cellStyle name="Normal 31 2 3 6 7" xfId="8185" xr:uid="{00000000-0005-0000-0000-0000781A0000}"/>
    <cellStyle name="Normal 31 2 3 7" xfId="490" xr:uid="{00000000-0005-0000-0000-0000791A0000}"/>
    <cellStyle name="Normal 31 2 3 7 2" xfId="840" xr:uid="{00000000-0005-0000-0000-00007A1A0000}"/>
    <cellStyle name="Normal 31 2 3 7 2 2" xfId="1478" xr:uid="{00000000-0005-0000-0000-00007B1A0000}"/>
    <cellStyle name="Normal 31 2 3 7 2 2 2" xfId="2704" xr:uid="{00000000-0005-0000-0000-00007C1A0000}"/>
    <cellStyle name="Normal 31 2 3 7 2 2 2 2" xfId="6564" xr:uid="{00000000-0005-0000-0000-00007D1A0000}"/>
    <cellStyle name="Normal 31 2 3 7 2 2 2 3" xfId="11516" xr:uid="{00000000-0005-0000-0000-00007E1A0000}"/>
    <cellStyle name="Normal 31 2 3 7 2 2 3" xfId="3932" xr:uid="{00000000-0005-0000-0000-00007F1A0000}"/>
    <cellStyle name="Normal 31 2 3 7 2 2 3 2" xfId="7788" xr:uid="{00000000-0005-0000-0000-0000801A0000}"/>
    <cellStyle name="Normal 31 2 3 7 2 2 3 3" xfId="10274" xr:uid="{00000000-0005-0000-0000-0000811A0000}"/>
    <cellStyle name="Normal 31 2 3 7 2 2 4" xfId="5340" xr:uid="{00000000-0005-0000-0000-0000821A0000}"/>
    <cellStyle name="Normal 31 2 3 7 2 2 5" xfId="9032" xr:uid="{00000000-0005-0000-0000-0000831A0000}"/>
    <cellStyle name="Normal 31 2 3 7 2 3" xfId="2092" xr:uid="{00000000-0005-0000-0000-0000841A0000}"/>
    <cellStyle name="Normal 31 2 3 7 2 3 2" xfId="5952" xr:uid="{00000000-0005-0000-0000-0000851A0000}"/>
    <cellStyle name="Normal 31 2 3 7 2 3 3" xfId="10868" xr:uid="{00000000-0005-0000-0000-0000861A0000}"/>
    <cellStyle name="Normal 31 2 3 7 2 4" xfId="3320" xr:uid="{00000000-0005-0000-0000-0000871A0000}"/>
    <cellStyle name="Normal 31 2 3 7 2 4 2" xfId="7176" xr:uid="{00000000-0005-0000-0000-0000881A0000}"/>
    <cellStyle name="Normal 31 2 3 7 2 4 3" xfId="9626" xr:uid="{00000000-0005-0000-0000-0000891A0000}"/>
    <cellStyle name="Normal 31 2 3 7 2 5" xfId="4728" xr:uid="{00000000-0005-0000-0000-00008A1A0000}"/>
    <cellStyle name="Normal 31 2 3 7 2 6" xfId="8383" xr:uid="{00000000-0005-0000-0000-00008B1A0000}"/>
    <cellStyle name="Normal 31 2 3 7 3" xfId="1172" xr:uid="{00000000-0005-0000-0000-00008C1A0000}"/>
    <cellStyle name="Normal 31 2 3 7 3 2" xfId="2398" xr:uid="{00000000-0005-0000-0000-00008D1A0000}"/>
    <cellStyle name="Normal 31 2 3 7 3 2 2" xfId="6258" xr:uid="{00000000-0005-0000-0000-00008E1A0000}"/>
    <cellStyle name="Normal 31 2 3 7 3 2 3" xfId="11210" xr:uid="{00000000-0005-0000-0000-00008F1A0000}"/>
    <cellStyle name="Normal 31 2 3 7 3 3" xfId="3626" xr:uid="{00000000-0005-0000-0000-0000901A0000}"/>
    <cellStyle name="Normal 31 2 3 7 3 3 2" xfId="7482" xr:uid="{00000000-0005-0000-0000-0000911A0000}"/>
    <cellStyle name="Normal 31 2 3 7 3 3 3" xfId="9968" xr:uid="{00000000-0005-0000-0000-0000921A0000}"/>
    <cellStyle name="Normal 31 2 3 7 3 4" xfId="5034" xr:uid="{00000000-0005-0000-0000-0000931A0000}"/>
    <cellStyle name="Normal 31 2 3 7 3 5" xfId="8726" xr:uid="{00000000-0005-0000-0000-0000941A0000}"/>
    <cellStyle name="Normal 31 2 3 7 4" xfId="1786" xr:uid="{00000000-0005-0000-0000-0000951A0000}"/>
    <cellStyle name="Normal 31 2 3 7 4 2" xfId="5646" xr:uid="{00000000-0005-0000-0000-0000961A0000}"/>
    <cellStyle name="Normal 31 2 3 7 4 3" xfId="10580" xr:uid="{00000000-0005-0000-0000-0000971A0000}"/>
    <cellStyle name="Normal 31 2 3 7 5" xfId="3013" xr:uid="{00000000-0005-0000-0000-0000981A0000}"/>
    <cellStyle name="Normal 31 2 3 7 5 2" xfId="6870" xr:uid="{00000000-0005-0000-0000-0000991A0000}"/>
    <cellStyle name="Normal 31 2 3 7 5 3" xfId="12056" xr:uid="{00000000-0005-0000-0000-00009A1A0000}"/>
    <cellStyle name="Normal 31 2 3 7 6" xfId="4422" xr:uid="{00000000-0005-0000-0000-00009B1A0000}"/>
    <cellStyle name="Normal 31 2 3 7 6 2" xfId="9338" xr:uid="{00000000-0005-0000-0000-00009C1A0000}"/>
    <cellStyle name="Normal 31 2 3 7 7" xfId="8095" xr:uid="{00000000-0005-0000-0000-00009D1A0000}"/>
    <cellStyle name="Normal 31 2 3 8" xfId="802" xr:uid="{00000000-0005-0000-0000-00009E1A0000}"/>
    <cellStyle name="Normal 31 2 3 8 2" xfId="1442" xr:uid="{00000000-0005-0000-0000-00009F1A0000}"/>
    <cellStyle name="Normal 31 2 3 8 2 2" xfId="2668" xr:uid="{00000000-0005-0000-0000-0000A01A0000}"/>
    <cellStyle name="Normal 31 2 3 8 2 2 2" xfId="6528" xr:uid="{00000000-0005-0000-0000-0000A11A0000}"/>
    <cellStyle name="Normal 31 2 3 8 2 2 3" xfId="11480" xr:uid="{00000000-0005-0000-0000-0000A21A0000}"/>
    <cellStyle name="Normal 31 2 3 8 2 3" xfId="3896" xr:uid="{00000000-0005-0000-0000-0000A31A0000}"/>
    <cellStyle name="Normal 31 2 3 8 2 3 2" xfId="7752" xr:uid="{00000000-0005-0000-0000-0000A41A0000}"/>
    <cellStyle name="Normal 31 2 3 8 2 3 3" xfId="10238" xr:uid="{00000000-0005-0000-0000-0000A51A0000}"/>
    <cellStyle name="Normal 31 2 3 8 2 4" xfId="5304" xr:uid="{00000000-0005-0000-0000-0000A61A0000}"/>
    <cellStyle name="Normal 31 2 3 8 2 5" xfId="8996" xr:uid="{00000000-0005-0000-0000-0000A71A0000}"/>
    <cellStyle name="Normal 31 2 3 8 3" xfId="2056" xr:uid="{00000000-0005-0000-0000-0000A81A0000}"/>
    <cellStyle name="Normal 31 2 3 8 3 2" xfId="5916" xr:uid="{00000000-0005-0000-0000-0000A91A0000}"/>
    <cellStyle name="Normal 31 2 3 8 3 3" xfId="10850" xr:uid="{00000000-0005-0000-0000-0000AA1A0000}"/>
    <cellStyle name="Normal 31 2 3 8 4" xfId="3284" xr:uid="{00000000-0005-0000-0000-0000AB1A0000}"/>
    <cellStyle name="Normal 31 2 3 8 4 2" xfId="7140" xr:uid="{00000000-0005-0000-0000-0000AC1A0000}"/>
    <cellStyle name="Normal 31 2 3 8 4 3" xfId="9608" xr:uid="{00000000-0005-0000-0000-0000AD1A0000}"/>
    <cellStyle name="Normal 31 2 3 8 5" xfId="4692" xr:uid="{00000000-0005-0000-0000-0000AE1A0000}"/>
    <cellStyle name="Normal 31 2 3 8 6" xfId="8365" xr:uid="{00000000-0005-0000-0000-0000AF1A0000}"/>
    <cellStyle name="Normal 31 2 3 9" xfId="1136" xr:uid="{00000000-0005-0000-0000-0000B01A0000}"/>
    <cellStyle name="Normal 31 2 3 9 2" xfId="2362" xr:uid="{00000000-0005-0000-0000-0000B11A0000}"/>
    <cellStyle name="Normal 31 2 3 9 2 2" xfId="6222" xr:uid="{00000000-0005-0000-0000-0000B21A0000}"/>
    <cellStyle name="Normal 31 2 3 9 2 3" xfId="11174" xr:uid="{00000000-0005-0000-0000-0000B31A0000}"/>
    <cellStyle name="Normal 31 2 3 9 3" xfId="3590" xr:uid="{00000000-0005-0000-0000-0000B41A0000}"/>
    <cellStyle name="Normal 31 2 3 9 3 2" xfId="7446" xr:uid="{00000000-0005-0000-0000-0000B51A0000}"/>
    <cellStyle name="Normal 31 2 3 9 3 3" xfId="9932" xr:uid="{00000000-0005-0000-0000-0000B61A0000}"/>
    <cellStyle name="Normal 31 2 3 9 4" xfId="4998" xr:uid="{00000000-0005-0000-0000-0000B71A0000}"/>
    <cellStyle name="Normal 31 2 3 9 5" xfId="8690" xr:uid="{00000000-0005-0000-0000-0000B81A0000}"/>
    <cellStyle name="Normal 31 2 4" xfId="469" xr:uid="{00000000-0005-0000-0000-0000B91A0000}"/>
    <cellStyle name="Normal 31 2 4 10" xfId="4401" xr:uid="{00000000-0005-0000-0000-0000BA1A0000}"/>
    <cellStyle name="Normal 31 2 4 10 2" xfId="9317" xr:uid="{00000000-0005-0000-0000-0000BB1A0000}"/>
    <cellStyle name="Normal 31 2 4 11" xfId="8074" xr:uid="{00000000-0005-0000-0000-0000BC1A0000}"/>
    <cellStyle name="Normal 31 2 4 2" xfId="582" xr:uid="{00000000-0005-0000-0000-0000BD1A0000}"/>
    <cellStyle name="Normal 31 2 4 2 2" xfId="763" xr:uid="{00000000-0005-0000-0000-0000BE1A0000}"/>
    <cellStyle name="Normal 31 2 4 2 2 2" xfId="1113" xr:uid="{00000000-0005-0000-0000-0000BF1A0000}"/>
    <cellStyle name="Normal 31 2 4 2 2 2 2" xfId="1727" xr:uid="{00000000-0005-0000-0000-0000C01A0000}"/>
    <cellStyle name="Normal 31 2 4 2 2 2 2 2" xfId="2953" xr:uid="{00000000-0005-0000-0000-0000C11A0000}"/>
    <cellStyle name="Normal 31 2 4 2 2 2 2 2 2" xfId="6813" xr:uid="{00000000-0005-0000-0000-0000C21A0000}"/>
    <cellStyle name="Normal 31 2 4 2 2 2 2 2 3" xfId="11765" xr:uid="{00000000-0005-0000-0000-0000C31A0000}"/>
    <cellStyle name="Normal 31 2 4 2 2 2 2 3" xfId="4181" xr:uid="{00000000-0005-0000-0000-0000C41A0000}"/>
    <cellStyle name="Normal 31 2 4 2 2 2 2 3 2" xfId="8037" xr:uid="{00000000-0005-0000-0000-0000C51A0000}"/>
    <cellStyle name="Normal 31 2 4 2 2 2 2 3 3" xfId="10523" xr:uid="{00000000-0005-0000-0000-0000C61A0000}"/>
    <cellStyle name="Normal 31 2 4 2 2 2 2 4" xfId="5589" xr:uid="{00000000-0005-0000-0000-0000C71A0000}"/>
    <cellStyle name="Normal 31 2 4 2 2 2 2 5" xfId="9281" xr:uid="{00000000-0005-0000-0000-0000C81A0000}"/>
    <cellStyle name="Normal 31 2 4 2 2 2 3" xfId="2341" xr:uid="{00000000-0005-0000-0000-0000C91A0000}"/>
    <cellStyle name="Normal 31 2 4 2 2 2 3 2" xfId="6201" xr:uid="{00000000-0005-0000-0000-0000CA1A0000}"/>
    <cellStyle name="Normal 31 2 4 2 2 2 3 3" xfId="11117" xr:uid="{00000000-0005-0000-0000-0000CB1A0000}"/>
    <cellStyle name="Normal 31 2 4 2 2 2 4" xfId="3569" xr:uid="{00000000-0005-0000-0000-0000CC1A0000}"/>
    <cellStyle name="Normal 31 2 4 2 2 2 4 2" xfId="7425" xr:uid="{00000000-0005-0000-0000-0000CD1A0000}"/>
    <cellStyle name="Normal 31 2 4 2 2 2 4 3" xfId="9875" xr:uid="{00000000-0005-0000-0000-0000CE1A0000}"/>
    <cellStyle name="Normal 31 2 4 2 2 2 5" xfId="4977" xr:uid="{00000000-0005-0000-0000-0000CF1A0000}"/>
    <cellStyle name="Normal 31 2 4 2 2 2 6" xfId="8632" xr:uid="{00000000-0005-0000-0000-0000D01A0000}"/>
    <cellStyle name="Normal 31 2 4 2 2 3" xfId="1421" xr:uid="{00000000-0005-0000-0000-0000D11A0000}"/>
    <cellStyle name="Normal 31 2 4 2 2 3 2" xfId="2647" xr:uid="{00000000-0005-0000-0000-0000D21A0000}"/>
    <cellStyle name="Normal 31 2 4 2 2 3 2 2" xfId="6507" xr:uid="{00000000-0005-0000-0000-0000D31A0000}"/>
    <cellStyle name="Normal 31 2 4 2 2 3 2 3" xfId="11459" xr:uid="{00000000-0005-0000-0000-0000D41A0000}"/>
    <cellStyle name="Normal 31 2 4 2 2 3 3" xfId="3875" xr:uid="{00000000-0005-0000-0000-0000D51A0000}"/>
    <cellStyle name="Normal 31 2 4 2 2 3 3 2" xfId="7731" xr:uid="{00000000-0005-0000-0000-0000D61A0000}"/>
    <cellStyle name="Normal 31 2 4 2 2 3 3 3" xfId="10217" xr:uid="{00000000-0005-0000-0000-0000D71A0000}"/>
    <cellStyle name="Normal 31 2 4 2 2 3 4" xfId="5283" xr:uid="{00000000-0005-0000-0000-0000D81A0000}"/>
    <cellStyle name="Normal 31 2 4 2 2 3 5" xfId="8975" xr:uid="{00000000-0005-0000-0000-0000D91A0000}"/>
    <cellStyle name="Normal 31 2 4 2 2 4" xfId="2035" xr:uid="{00000000-0005-0000-0000-0000DA1A0000}"/>
    <cellStyle name="Normal 31 2 4 2 2 4 2" xfId="5895" xr:uid="{00000000-0005-0000-0000-0000DB1A0000}"/>
    <cellStyle name="Normal 31 2 4 2 2 4 3" xfId="10829" xr:uid="{00000000-0005-0000-0000-0000DC1A0000}"/>
    <cellStyle name="Normal 31 2 4 2 2 5" xfId="3262" xr:uid="{00000000-0005-0000-0000-0000DD1A0000}"/>
    <cellStyle name="Normal 31 2 4 2 2 5 2" xfId="7119" xr:uid="{00000000-0005-0000-0000-0000DE1A0000}"/>
    <cellStyle name="Normal 31 2 4 2 2 5 3" xfId="12035" xr:uid="{00000000-0005-0000-0000-0000DF1A0000}"/>
    <cellStyle name="Normal 31 2 4 2 2 6" xfId="4671" xr:uid="{00000000-0005-0000-0000-0000E01A0000}"/>
    <cellStyle name="Normal 31 2 4 2 2 6 2" xfId="9587" xr:uid="{00000000-0005-0000-0000-0000E11A0000}"/>
    <cellStyle name="Normal 31 2 4 2 2 7" xfId="8344" xr:uid="{00000000-0005-0000-0000-0000E21A0000}"/>
    <cellStyle name="Normal 31 2 4 2 3" xfId="673" xr:uid="{00000000-0005-0000-0000-0000E31A0000}"/>
    <cellStyle name="Normal 31 2 4 2 3 2" xfId="1023" xr:uid="{00000000-0005-0000-0000-0000E41A0000}"/>
    <cellStyle name="Normal 31 2 4 2 3 2 2" xfId="1637" xr:uid="{00000000-0005-0000-0000-0000E51A0000}"/>
    <cellStyle name="Normal 31 2 4 2 3 2 2 2" xfId="2863" xr:uid="{00000000-0005-0000-0000-0000E61A0000}"/>
    <cellStyle name="Normal 31 2 4 2 3 2 2 2 2" xfId="6723" xr:uid="{00000000-0005-0000-0000-0000E71A0000}"/>
    <cellStyle name="Normal 31 2 4 2 3 2 2 2 3" xfId="11675" xr:uid="{00000000-0005-0000-0000-0000E81A0000}"/>
    <cellStyle name="Normal 31 2 4 2 3 2 2 3" xfId="4091" xr:uid="{00000000-0005-0000-0000-0000E91A0000}"/>
    <cellStyle name="Normal 31 2 4 2 3 2 2 3 2" xfId="7947" xr:uid="{00000000-0005-0000-0000-0000EA1A0000}"/>
    <cellStyle name="Normal 31 2 4 2 3 2 2 3 3" xfId="10433" xr:uid="{00000000-0005-0000-0000-0000EB1A0000}"/>
    <cellStyle name="Normal 31 2 4 2 3 2 2 4" xfId="5499" xr:uid="{00000000-0005-0000-0000-0000EC1A0000}"/>
    <cellStyle name="Normal 31 2 4 2 3 2 2 5" xfId="9191" xr:uid="{00000000-0005-0000-0000-0000ED1A0000}"/>
    <cellStyle name="Normal 31 2 4 2 3 2 3" xfId="2251" xr:uid="{00000000-0005-0000-0000-0000EE1A0000}"/>
    <cellStyle name="Normal 31 2 4 2 3 2 3 2" xfId="6111" xr:uid="{00000000-0005-0000-0000-0000EF1A0000}"/>
    <cellStyle name="Normal 31 2 4 2 3 2 3 3" xfId="11027" xr:uid="{00000000-0005-0000-0000-0000F01A0000}"/>
    <cellStyle name="Normal 31 2 4 2 3 2 4" xfId="3479" xr:uid="{00000000-0005-0000-0000-0000F11A0000}"/>
    <cellStyle name="Normal 31 2 4 2 3 2 4 2" xfId="7335" xr:uid="{00000000-0005-0000-0000-0000F21A0000}"/>
    <cellStyle name="Normal 31 2 4 2 3 2 4 3" xfId="9785" xr:uid="{00000000-0005-0000-0000-0000F31A0000}"/>
    <cellStyle name="Normal 31 2 4 2 3 2 5" xfId="4887" xr:uid="{00000000-0005-0000-0000-0000F41A0000}"/>
    <cellStyle name="Normal 31 2 4 2 3 2 6" xfId="8542" xr:uid="{00000000-0005-0000-0000-0000F51A0000}"/>
    <cellStyle name="Normal 31 2 4 2 3 3" xfId="1331" xr:uid="{00000000-0005-0000-0000-0000F61A0000}"/>
    <cellStyle name="Normal 31 2 4 2 3 3 2" xfId="2557" xr:uid="{00000000-0005-0000-0000-0000F71A0000}"/>
    <cellStyle name="Normal 31 2 4 2 3 3 2 2" xfId="6417" xr:uid="{00000000-0005-0000-0000-0000F81A0000}"/>
    <cellStyle name="Normal 31 2 4 2 3 3 2 3" xfId="11369" xr:uid="{00000000-0005-0000-0000-0000F91A0000}"/>
    <cellStyle name="Normal 31 2 4 2 3 3 3" xfId="3785" xr:uid="{00000000-0005-0000-0000-0000FA1A0000}"/>
    <cellStyle name="Normal 31 2 4 2 3 3 3 2" xfId="7641" xr:uid="{00000000-0005-0000-0000-0000FB1A0000}"/>
    <cellStyle name="Normal 31 2 4 2 3 3 3 3" xfId="10127" xr:uid="{00000000-0005-0000-0000-0000FC1A0000}"/>
    <cellStyle name="Normal 31 2 4 2 3 3 4" xfId="5193" xr:uid="{00000000-0005-0000-0000-0000FD1A0000}"/>
    <cellStyle name="Normal 31 2 4 2 3 3 5" xfId="8885" xr:uid="{00000000-0005-0000-0000-0000FE1A0000}"/>
    <cellStyle name="Normal 31 2 4 2 3 4" xfId="1945" xr:uid="{00000000-0005-0000-0000-0000FF1A0000}"/>
    <cellStyle name="Normal 31 2 4 2 3 4 2" xfId="5805" xr:uid="{00000000-0005-0000-0000-0000001B0000}"/>
    <cellStyle name="Normal 31 2 4 2 3 4 3" xfId="10739" xr:uid="{00000000-0005-0000-0000-0000011B0000}"/>
    <cellStyle name="Normal 31 2 4 2 3 5" xfId="3172" xr:uid="{00000000-0005-0000-0000-0000021B0000}"/>
    <cellStyle name="Normal 31 2 4 2 3 5 2" xfId="7029" xr:uid="{00000000-0005-0000-0000-0000031B0000}"/>
    <cellStyle name="Normal 31 2 4 2 3 5 3" xfId="11945" xr:uid="{00000000-0005-0000-0000-0000041B0000}"/>
    <cellStyle name="Normal 31 2 4 2 3 6" xfId="4581" xr:uid="{00000000-0005-0000-0000-0000051B0000}"/>
    <cellStyle name="Normal 31 2 4 2 3 6 2" xfId="9497" xr:uid="{00000000-0005-0000-0000-0000061B0000}"/>
    <cellStyle name="Normal 31 2 4 2 3 7" xfId="8254" xr:uid="{00000000-0005-0000-0000-0000071B0000}"/>
    <cellStyle name="Normal 31 2 4 2 4" xfId="932" xr:uid="{00000000-0005-0000-0000-0000081B0000}"/>
    <cellStyle name="Normal 31 2 4 2 4 2" xfId="1547" xr:uid="{00000000-0005-0000-0000-0000091B0000}"/>
    <cellStyle name="Normal 31 2 4 2 4 2 2" xfId="2773" xr:uid="{00000000-0005-0000-0000-00000A1B0000}"/>
    <cellStyle name="Normal 31 2 4 2 4 2 2 2" xfId="6633" xr:uid="{00000000-0005-0000-0000-00000B1B0000}"/>
    <cellStyle name="Normal 31 2 4 2 4 2 2 3" xfId="11585" xr:uid="{00000000-0005-0000-0000-00000C1B0000}"/>
    <cellStyle name="Normal 31 2 4 2 4 2 3" xfId="4001" xr:uid="{00000000-0005-0000-0000-00000D1B0000}"/>
    <cellStyle name="Normal 31 2 4 2 4 2 3 2" xfId="7857" xr:uid="{00000000-0005-0000-0000-00000E1B0000}"/>
    <cellStyle name="Normal 31 2 4 2 4 2 3 3" xfId="10343" xr:uid="{00000000-0005-0000-0000-00000F1B0000}"/>
    <cellStyle name="Normal 31 2 4 2 4 2 4" xfId="5409" xr:uid="{00000000-0005-0000-0000-0000101B0000}"/>
    <cellStyle name="Normal 31 2 4 2 4 2 5" xfId="9101" xr:uid="{00000000-0005-0000-0000-0000111B0000}"/>
    <cellStyle name="Normal 31 2 4 2 4 3" xfId="2161" xr:uid="{00000000-0005-0000-0000-0000121B0000}"/>
    <cellStyle name="Normal 31 2 4 2 4 3 2" xfId="6021" xr:uid="{00000000-0005-0000-0000-0000131B0000}"/>
    <cellStyle name="Normal 31 2 4 2 4 3 3" xfId="10937" xr:uid="{00000000-0005-0000-0000-0000141B0000}"/>
    <cellStyle name="Normal 31 2 4 2 4 4" xfId="3389" xr:uid="{00000000-0005-0000-0000-0000151B0000}"/>
    <cellStyle name="Normal 31 2 4 2 4 4 2" xfId="7245" xr:uid="{00000000-0005-0000-0000-0000161B0000}"/>
    <cellStyle name="Normal 31 2 4 2 4 4 3" xfId="9695" xr:uid="{00000000-0005-0000-0000-0000171B0000}"/>
    <cellStyle name="Normal 31 2 4 2 4 5" xfId="4797" xr:uid="{00000000-0005-0000-0000-0000181B0000}"/>
    <cellStyle name="Normal 31 2 4 2 4 6" xfId="8452" xr:uid="{00000000-0005-0000-0000-0000191B0000}"/>
    <cellStyle name="Normal 31 2 4 2 5" xfId="1241" xr:uid="{00000000-0005-0000-0000-00001A1B0000}"/>
    <cellStyle name="Normal 31 2 4 2 5 2" xfId="2467" xr:uid="{00000000-0005-0000-0000-00001B1B0000}"/>
    <cellStyle name="Normal 31 2 4 2 5 2 2" xfId="6327" xr:uid="{00000000-0005-0000-0000-00001C1B0000}"/>
    <cellStyle name="Normal 31 2 4 2 5 2 3" xfId="11279" xr:uid="{00000000-0005-0000-0000-00001D1B0000}"/>
    <cellStyle name="Normal 31 2 4 2 5 3" xfId="3695" xr:uid="{00000000-0005-0000-0000-00001E1B0000}"/>
    <cellStyle name="Normal 31 2 4 2 5 3 2" xfId="7551" xr:uid="{00000000-0005-0000-0000-00001F1B0000}"/>
    <cellStyle name="Normal 31 2 4 2 5 3 3" xfId="10037" xr:uid="{00000000-0005-0000-0000-0000201B0000}"/>
    <cellStyle name="Normal 31 2 4 2 5 4" xfId="5103" xr:uid="{00000000-0005-0000-0000-0000211B0000}"/>
    <cellStyle name="Normal 31 2 4 2 5 5" xfId="8795" xr:uid="{00000000-0005-0000-0000-0000221B0000}"/>
    <cellStyle name="Normal 31 2 4 2 6" xfId="1855" xr:uid="{00000000-0005-0000-0000-0000231B0000}"/>
    <cellStyle name="Normal 31 2 4 2 6 2" xfId="5715" xr:uid="{00000000-0005-0000-0000-0000241B0000}"/>
    <cellStyle name="Normal 31 2 4 2 6 3" xfId="10649" xr:uid="{00000000-0005-0000-0000-0000251B0000}"/>
    <cellStyle name="Normal 31 2 4 2 7" xfId="3082" xr:uid="{00000000-0005-0000-0000-0000261B0000}"/>
    <cellStyle name="Normal 31 2 4 2 7 2" xfId="6939" xr:uid="{00000000-0005-0000-0000-0000271B0000}"/>
    <cellStyle name="Normal 31 2 4 2 7 3" xfId="11855" xr:uid="{00000000-0005-0000-0000-0000281B0000}"/>
    <cellStyle name="Normal 31 2 4 2 8" xfId="4491" xr:uid="{00000000-0005-0000-0000-0000291B0000}"/>
    <cellStyle name="Normal 31 2 4 2 8 2" xfId="9407" xr:uid="{00000000-0005-0000-0000-00002A1B0000}"/>
    <cellStyle name="Normal 31 2 4 2 9" xfId="8164" xr:uid="{00000000-0005-0000-0000-00002B1B0000}"/>
    <cellStyle name="Normal 31 2 4 3" xfId="727" xr:uid="{00000000-0005-0000-0000-00002C1B0000}"/>
    <cellStyle name="Normal 31 2 4 3 2" xfId="1077" xr:uid="{00000000-0005-0000-0000-00002D1B0000}"/>
    <cellStyle name="Normal 31 2 4 3 2 2" xfId="1691" xr:uid="{00000000-0005-0000-0000-00002E1B0000}"/>
    <cellStyle name="Normal 31 2 4 3 2 2 2" xfId="2917" xr:uid="{00000000-0005-0000-0000-00002F1B0000}"/>
    <cellStyle name="Normal 31 2 4 3 2 2 2 2" xfId="6777" xr:uid="{00000000-0005-0000-0000-0000301B0000}"/>
    <cellStyle name="Normal 31 2 4 3 2 2 2 3" xfId="11729" xr:uid="{00000000-0005-0000-0000-0000311B0000}"/>
    <cellStyle name="Normal 31 2 4 3 2 2 3" xfId="4145" xr:uid="{00000000-0005-0000-0000-0000321B0000}"/>
    <cellStyle name="Normal 31 2 4 3 2 2 3 2" xfId="8001" xr:uid="{00000000-0005-0000-0000-0000331B0000}"/>
    <cellStyle name="Normal 31 2 4 3 2 2 3 3" xfId="10487" xr:uid="{00000000-0005-0000-0000-0000341B0000}"/>
    <cellStyle name="Normal 31 2 4 3 2 2 4" xfId="5553" xr:uid="{00000000-0005-0000-0000-0000351B0000}"/>
    <cellStyle name="Normal 31 2 4 3 2 2 5" xfId="9245" xr:uid="{00000000-0005-0000-0000-0000361B0000}"/>
    <cellStyle name="Normal 31 2 4 3 2 3" xfId="2305" xr:uid="{00000000-0005-0000-0000-0000371B0000}"/>
    <cellStyle name="Normal 31 2 4 3 2 3 2" xfId="6165" xr:uid="{00000000-0005-0000-0000-0000381B0000}"/>
    <cellStyle name="Normal 31 2 4 3 2 3 3" xfId="11081" xr:uid="{00000000-0005-0000-0000-0000391B0000}"/>
    <cellStyle name="Normal 31 2 4 3 2 4" xfId="3533" xr:uid="{00000000-0005-0000-0000-00003A1B0000}"/>
    <cellStyle name="Normal 31 2 4 3 2 4 2" xfId="7389" xr:uid="{00000000-0005-0000-0000-00003B1B0000}"/>
    <cellStyle name="Normal 31 2 4 3 2 4 3" xfId="9839" xr:uid="{00000000-0005-0000-0000-00003C1B0000}"/>
    <cellStyle name="Normal 31 2 4 3 2 5" xfId="4941" xr:uid="{00000000-0005-0000-0000-00003D1B0000}"/>
    <cellStyle name="Normal 31 2 4 3 2 6" xfId="8596" xr:uid="{00000000-0005-0000-0000-00003E1B0000}"/>
    <cellStyle name="Normal 31 2 4 3 3" xfId="1385" xr:uid="{00000000-0005-0000-0000-00003F1B0000}"/>
    <cellStyle name="Normal 31 2 4 3 3 2" xfId="2611" xr:uid="{00000000-0005-0000-0000-0000401B0000}"/>
    <cellStyle name="Normal 31 2 4 3 3 2 2" xfId="6471" xr:uid="{00000000-0005-0000-0000-0000411B0000}"/>
    <cellStyle name="Normal 31 2 4 3 3 2 3" xfId="11423" xr:uid="{00000000-0005-0000-0000-0000421B0000}"/>
    <cellStyle name="Normal 31 2 4 3 3 3" xfId="3839" xr:uid="{00000000-0005-0000-0000-0000431B0000}"/>
    <cellStyle name="Normal 31 2 4 3 3 3 2" xfId="7695" xr:uid="{00000000-0005-0000-0000-0000441B0000}"/>
    <cellStyle name="Normal 31 2 4 3 3 3 3" xfId="10181" xr:uid="{00000000-0005-0000-0000-0000451B0000}"/>
    <cellStyle name="Normal 31 2 4 3 3 4" xfId="5247" xr:uid="{00000000-0005-0000-0000-0000461B0000}"/>
    <cellStyle name="Normal 31 2 4 3 3 5" xfId="8939" xr:uid="{00000000-0005-0000-0000-0000471B0000}"/>
    <cellStyle name="Normal 31 2 4 3 4" xfId="1999" xr:uid="{00000000-0005-0000-0000-0000481B0000}"/>
    <cellStyle name="Normal 31 2 4 3 4 2" xfId="5859" xr:uid="{00000000-0005-0000-0000-0000491B0000}"/>
    <cellStyle name="Normal 31 2 4 3 4 3" xfId="10793" xr:uid="{00000000-0005-0000-0000-00004A1B0000}"/>
    <cellStyle name="Normal 31 2 4 3 5" xfId="3226" xr:uid="{00000000-0005-0000-0000-00004B1B0000}"/>
    <cellStyle name="Normal 31 2 4 3 5 2" xfId="7083" xr:uid="{00000000-0005-0000-0000-00004C1B0000}"/>
    <cellStyle name="Normal 31 2 4 3 5 3" xfId="11999" xr:uid="{00000000-0005-0000-0000-00004D1B0000}"/>
    <cellStyle name="Normal 31 2 4 3 6" xfId="4635" xr:uid="{00000000-0005-0000-0000-00004E1B0000}"/>
    <cellStyle name="Normal 31 2 4 3 6 2" xfId="9551" xr:uid="{00000000-0005-0000-0000-00004F1B0000}"/>
    <cellStyle name="Normal 31 2 4 3 7" xfId="8308" xr:uid="{00000000-0005-0000-0000-0000501B0000}"/>
    <cellStyle name="Normal 31 2 4 4" xfId="637" xr:uid="{00000000-0005-0000-0000-0000511B0000}"/>
    <cellStyle name="Normal 31 2 4 4 2" xfId="987" xr:uid="{00000000-0005-0000-0000-0000521B0000}"/>
    <cellStyle name="Normal 31 2 4 4 2 2" xfId="1601" xr:uid="{00000000-0005-0000-0000-0000531B0000}"/>
    <cellStyle name="Normal 31 2 4 4 2 2 2" xfId="2827" xr:uid="{00000000-0005-0000-0000-0000541B0000}"/>
    <cellStyle name="Normal 31 2 4 4 2 2 2 2" xfId="6687" xr:uid="{00000000-0005-0000-0000-0000551B0000}"/>
    <cellStyle name="Normal 31 2 4 4 2 2 2 3" xfId="11639" xr:uid="{00000000-0005-0000-0000-0000561B0000}"/>
    <cellStyle name="Normal 31 2 4 4 2 2 3" xfId="4055" xr:uid="{00000000-0005-0000-0000-0000571B0000}"/>
    <cellStyle name="Normal 31 2 4 4 2 2 3 2" xfId="7911" xr:uid="{00000000-0005-0000-0000-0000581B0000}"/>
    <cellStyle name="Normal 31 2 4 4 2 2 3 3" xfId="10397" xr:uid="{00000000-0005-0000-0000-0000591B0000}"/>
    <cellStyle name="Normal 31 2 4 4 2 2 4" xfId="5463" xr:uid="{00000000-0005-0000-0000-00005A1B0000}"/>
    <cellStyle name="Normal 31 2 4 4 2 2 5" xfId="9155" xr:uid="{00000000-0005-0000-0000-00005B1B0000}"/>
    <cellStyle name="Normal 31 2 4 4 2 3" xfId="2215" xr:uid="{00000000-0005-0000-0000-00005C1B0000}"/>
    <cellStyle name="Normal 31 2 4 4 2 3 2" xfId="6075" xr:uid="{00000000-0005-0000-0000-00005D1B0000}"/>
    <cellStyle name="Normal 31 2 4 4 2 3 3" xfId="10991" xr:uid="{00000000-0005-0000-0000-00005E1B0000}"/>
    <cellStyle name="Normal 31 2 4 4 2 4" xfId="3443" xr:uid="{00000000-0005-0000-0000-00005F1B0000}"/>
    <cellStyle name="Normal 31 2 4 4 2 4 2" xfId="7299" xr:uid="{00000000-0005-0000-0000-0000601B0000}"/>
    <cellStyle name="Normal 31 2 4 4 2 4 3" xfId="9749" xr:uid="{00000000-0005-0000-0000-0000611B0000}"/>
    <cellStyle name="Normal 31 2 4 4 2 5" xfId="4851" xr:uid="{00000000-0005-0000-0000-0000621B0000}"/>
    <cellStyle name="Normal 31 2 4 4 2 6" xfId="8506" xr:uid="{00000000-0005-0000-0000-0000631B0000}"/>
    <cellStyle name="Normal 31 2 4 4 3" xfId="1295" xr:uid="{00000000-0005-0000-0000-0000641B0000}"/>
    <cellStyle name="Normal 31 2 4 4 3 2" xfId="2521" xr:uid="{00000000-0005-0000-0000-0000651B0000}"/>
    <cellStyle name="Normal 31 2 4 4 3 2 2" xfId="6381" xr:uid="{00000000-0005-0000-0000-0000661B0000}"/>
    <cellStyle name="Normal 31 2 4 4 3 2 3" xfId="11333" xr:uid="{00000000-0005-0000-0000-0000671B0000}"/>
    <cellStyle name="Normal 31 2 4 4 3 3" xfId="3749" xr:uid="{00000000-0005-0000-0000-0000681B0000}"/>
    <cellStyle name="Normal 31 2 4 4 3 3 2" xfId="7605" xr:uid="{00000000-0005-0000-0000-0000691B0000}"/>
    <cellStyle name="Normal 31 2 4 4 3 3 3" xfId="10091" xr:uid="{00000000-0005-0000-0000-00006A1B0000}"/>
    <cellStyle name="Normal 31 2 4 4 3 4" xfId="5157" xr:uid="{00000000-0005-0000-0000-00006B1B0000}"/>
    <cellStyle name="Normal 31 2 4 4 3 5" xfId="8849" xr:uid="{00000000-0005-0000-0000-00006C1B0000}"/>
    <cellStyle name="Normal 31 2 4 4 4" xfId="1909" xr:uid="{00000000-0005-0000-0000-00006D1B0000}"/>
    <cellStyle name="Normal 31 2 4 4 4 2" xfId="5769" xr:uid="{00000000-0005-0000-0000-00006E1B0000}"/>
    <cellStyle name="Normal 31 2 4 4 4 3" xfId="10703" xr:uid="{00000000-0005-0000-0000-00006F1B0000}"/>
    <cellStyle name="Normal 31 2 4 4 5" xfId="3136" xr:uid="{00000000-0005-0000-0000-0000701B0000}"/>
    <cellStyle name="Normal 31 2 4 4 5 2" xfId="6993" xr:uid="{00000000-0005-0000-0000-0000711B0000}"/>
    <cellStyle name="Normal 31 2 4 4 5 3" xfId="11909" xr:uid="{00000000-0005-0000-0000-0000721B0000}"/>
    <cellStyle name="Normal 31 2 4 4 6" xfId="4545" xr:uid="{00000000-0005-0000-0000-0000731B0000}"/>
    <cellStyle name="Normal 31 2 4 4 6 2" xfId="9461" xr:uid="{00000000-0005-0000-0000-0000741B0000}"/>
    <cellStyle name="Normal 31 2 4 4 7" xfId="8218" xr:uid="{00000000-0005-0000-0000-0000751B0000}"/>
    <cellStyle name="Normal 31 2 4 5" xfId="543" xr:uid="{00000000-0005-0000-0000-0000761B0000}"/>
    <cellStyle name="Normal 31 2 4 5 2" xfId="893" xr:uid="{00000000-0005-0000-0000-0000771B0000}"/>
    <cellStyle name="Normal 31 2 4 5 2 2" xfId="1511" xr:uid="{00000000-0005-0000-0000-0000781B0000}"/>
    <cellStyle name="Normal 31 2 4 5 2 2 2" xfId="2737" xr:uid="{00000000-0005-0000-0000-0000791B0000}"/>
    <cellStyle name="Normal 31 2 4 5 2 2 2 2" xfId="6597" xr:uid="{00000000-0005-0000-0000-00007A1B0000}"/>
    <cellStyle name="Normal 31 2 4 5 2 2 2 3" xfId="11549" xr:uid="{00000000-0005-0000-0000-00007B1B0000}"/>
    <cellStyle name="Normal 31 2 4 5 2 2 3" xfId="3965" xr:uid="{00000000-0005-0000-0000-00007C1B0000}"/>
    <cellStyle name="Normal 31 2 4 5 2 2 3 2" xfId="7821" xr:uid="{00000000-0005-0000-0000-00007D1B0000}"/>
    <cellStyle name="Normal 31 2 4 5 2 2 3 3" xfId="10307" xr:uid="{00000000-0005-0000-0000-00007E1B0000}"/>
    <cellStyle name="Normal 31 2 4 5 2 2 4" xfId="5373" xr:uid="{00000000-0005-0000-0000-00007F1B0000}"/>
    <cellStyle name="Normal 31 2 4 5 2 2 5" xfId="9065" xr:uid="{00000000-0005-0000-0000-0000801B0000}"/>
    <cellStyle name="Normal 31 2 4 5 2 3" xfId="2125" xr:uid="{00000000-0005-0000-0000-0000811B0000}"/>
    <cellStyle name="Normal 31 2 4 5 2 3 2" xfId="5985" xr:uid="{00000000-0005-0000-0000-0000821B0000}"/>
    <cellStyle name="Normal 31 2 4 5 2 3 3" xfId="11153" xr:uid="{00000000-0005-0000-0000-0000831B0000}"/>
    <cellStyle name="Normal 31 2 4 5 2 4" xfId="3353" xr:uid="{00000000-0005-0000-0000-0000841B0000}"/>
    <cellStyle name="Normal 31 2 4 5 2 4 2" xfId="7209" xr:uid="{00000000-0005-0000-0000-0000851B0000}"/>
    <cellStyle name="Normal 31 2 4 5 2 4 3" xfId="9911" xr:uid="{00000000-0005-0000-0000-0000861B0000}"/>
    <cellStyle name="Normal 31 2 4 5 2 5" xfId="4761" xr:uid="{00000000-0005-0000-0000-0000871B0000}"/>
    <cellStyle name="Normal 31 2 4 5 2 6" xfId="8669" xr:uid="{00000000-0005-0000-0000-0000881B0000}"/>
    <cellStyle name="Normal 31 2 4 5 3" xfId="1205" xr:uid="{00000000-0005-0000-0000-0000891B0000}"/>
    <cellStyle name="Normal 31 2 4 5 3 2" xfId="2431" xr:uid="{00000000-0005-0000-0000-00008A1B0000}"/>
    <cellStyle name="Normal 31 2 4 5 3 2 2" xfId="6291" xr:uid="{00000000-0005-0000-0000-00008B1B0000}"/>
    <cellStyle name="Normal 31 2 4 5 3 2 3" xfId="11243" xr:uid="{00000000-0005-0000-0000-00008C1B0000}"/>
    <cellStyle name="Normal 31 2 4 5 3 3" xfId="3659" xr:uid="{00000000-0005-0000-0000-00008D1B0000}"/>
    <cellStyle name="Normal 31 2 4 5 3 3 2" xfId="7515" xr:uid="{00000000-0005-0000-0000-00008E1B0000}"/>
    <cellStyle name="Normal 31 2 4 5 3 3 3" xfId="10001" xr:uid="{00000000-0005-0000-0000-00008F1B0000}"/>
    <cellStyle name="Normal 31 2 4 5 3 4" xfId="5067" xr:uid="{00000000-0005-0000-0000-0000901B0000}"/>
    <cellStyle name="Normal 31 2 4 5 3 5" xfId="8759" xr:uid="{00000000-0005-0000-0000-0000911B0000}"/>
    <cellStyle name="Normal 31 2 4 5 4" xfId="1819" xr:uid="{00000000-0005-0000-0000-0000921B0000}"/>
    <cellStyle name="Normal 31 2 4 5 4 2" xfId="5679" xr:uid="{00000000-0005-0000-0000-0000931B0000}"/>
    <cellStyle name="Normal 31 2 4 5 4 2 2" xfId="11135" xr:uid="{00000000-0005-0000-0000-0000941B0000}"/>
    <cellStyle name="Normal 31 2 4 5 4 3" xfId="9893" xr:uid="{00000000-0005-0000-0000-0000951B0000}"/>
    <cellStyle name="Normal 31 2 4 5 4 4" xfId="8650" xr:uid="{00000000-0005-0000-0000-0000961B0000}"/>
    <cellStyle name="Normal 31 2 4 5 5" xfId="3046" xr:uid="{00000000-0005-0000-0000-0000971B0000}"/>
    <cellStyle name="Normal 31 2 4 5 5 2" xfId="6903" xr:uid="{00000000-0005-0000-0000-0000981B0000}"/>
    <cellStyle name="Normal 31 2 4 5 5 3" xfId="10613" xr:uid="{00000000-0005-0000-0000-0000991B0000}"/>
    <cellStyle name="Normal 31 2 4 5 6" xfId="4455" xr:uid="{00000000-0005-0000-0000-00009A1B0000}"/>
    <cellStyle name="Normal 31 2 4 5 6 2" xfId="9371" xr:uid="{00000000-0005-0000-0000-00009B1B0000}"/>
    <cellStyle name="Normal 31 2 4 5 7" xfId="8128" xr:uid="{00000000-0005-0000-0000-00009C1B0000}"/>
    <cellStyle name="Normal 31 2 4 6" xfId="819" xr:uid="{00000000-0005-0000-0000-00009D1B0000}"/>
    <cellStyle name="Normal 31 2 4 6 2" xfId="1457" xr:uid="{00000000-0005-0000-0000-00009E1B0000}"/>
    <cellStyle name="Normal 31 2 4 6 2 2" xfId="2683" xr:uid="{00000000-0005-0000-0000-00009F1B0000}"/>
    <cellStyle name="Normal 31 2 4 6 2 2 2" xfId="6543" xr:uid="{00000000-0005-0000-0000-0000A01B0000}"/>
    <cellStyle name="Normal 31 2 4 6 2 2 3" xfId="11495" xr:uid="{00000000-0005-0000-0000-0000A11B0000}"/>
    <cellStyle name="Normal 31 2 4 6 2 3" xfId="3911" xr:uid="{00000000-0005-0000-0000-0000A21B0000}"/>
    <cellStyle name="Normal 31 2 4 6 2 3 2" xfId="7767" xr:uid="{00000000-0005-0000-0000-0000A31B0000}"/>
    <cellStyle name="Normal 31 2 4 6 2 3 3" xfId="10253" xr:uid="{00000000-0005-0000-0000-0000A41B0000}"/>
    <cellStyle name="Normal 31 2 4 6 2 4" xfId="5319" xr:uid="{00000000-0005-0000-0000-0000A51B0000}"/>
    <cellStyle name="Normal 31 2 4 6 2 5" xfId="9011" xr:uid="{00000000-0005-0000-0000-0000A61B0000}"/>
    <cellStyle name="Normal 31 2 4 6 3" xfId="2071" xr:uid="{00000000-0005-0000-0000-0000A71B0000}"/>
    <cellStyle name="Normal 31 2 4 6 3 2" xfId="5931" xr:uid="{00000000-0005-0000-0000-0000A81B0000}"/>
    <cellStyle name="Normal 31 2 4 6 3 3" xfId="10901" xr:uid="{00000000-0005-0000-0000-0000A91B0000}"/>
    <cellStyle name="Normal 31 2 4 6 4" xfId="3299" xr:uid="{00000000-0005-0000-0000-0000AA1B0000}"/>
    <cellStyle name="Normal 31 2 4 6 4 2" xfId="7155" xr:uid="{00000000-0005-0000-0000-0000AB1B0000}"/>
    <cellStyle name="Normal 31 2 4 6 4 3" xfId="9659" xr:uid="{00000000-0005-0000-0000-0000AC1B0000}"/>
    <cellStyle name="Normal 31 2 4 6 5" xfId="4707" xr:uid="{00000000-0005-0000-0000-0000AD1B0000}"/>
    <cellStyle name="Normal 31 2 4 6 6" xfId="8416" xr:uid="{00000000-0005-0000-0000-0000AE1B0000}"/>
    <cellStyle name="Normal 31 2 4 7" xfId="1151" xr:uid="{00000000-0005-0000-0000-0000AF1B0000}"/>
    <cellStyle name="Normal 31 2 4 7 2" xfId="2377" xr:uid="{00000000-0005-0000-0000-0000B01B0000}"/>
    <cellStyle name="Normal 31 2 4 7 2 2" xfId="6237" xr:uid="{00000000-0005-0000-0000-0000B11B0000}"/>
    <cellStyle name="Normal 31 2 4 7 2 3" xfId="11189" xr:uid="{00000000-0005-0000-0000-0000B21B0000}"/>
    <cellStyle name="Normal 31 2 4 7 3" xfId="3605" xr:uid="{00000000-0005-0000-0000-0000B31B0000}"/>
    <cellStyle name="Normal 31 2 4 7 3 2" xfId="7461" xr:uid="{00000000-0005-0000-0000-0000B41B0000}"/>
    <cellStyle name="Normal 31 2 4 7 3 3" xfId="9947" xr:uid="{00000000-0005-0000-0000-0000B51B0000}"/>
    <cellStyle name="Normal 31 2 4 7 4" xfId="5013" xr:uid="{00000000-0005-0000-0000-0000B61B0000}"/>
    <cellStyle name="Normal 31 2 4 7 5" xfId="8705" xr:uid="{00000000-0005-0000-0000-0000B71B0000}"/>
    <cellStyle name="Normal 31 2 4 8" xfId="1765" xr:uid="{00000000-0005-0000-0000-0000B81B0000}"/>
    <cellStyle name="Normal 31 2 4 8 2" xfId="5625" xr:uid="{00000000-0005-0000-0000-0000B91B0000}"/>
    <cellStyle name="Normal 31 2 4 8 3" xfId="10559" xr:uid="{00000000-0005-0000-0000-0000BA1B0000}"/>
    <cellStyle name="Normal 31 2 4 9" xfId="2992" xr:uid="{00000000-0005-0000-0000-0000BB1B0000}"/>
    <cellStyle name="Normal 31 2 4 9 2" xfId="6849" xr:uid="{00000000-0005-0000-0000-0000BC1B0000}"/>
    <cellStyle name="Normal 31 2 4 9 3" xfId="11819" xr:uid="{00000000-0005-0000-0000-0000BD1B0000}"/>
    <cellStyle name="Normal 31 2 5" xfId="564" xr:uid="{00000000-0005-0000-0000-0000BE1B0000}"/>
    <cellStyle name="Normal 31 2 5 2" xfId="745" xr:uid="{00000000-0005-0000-0000-0000BF1B0000}"/>
    <cellStyle name="Normal 31 2 5 2 2" xfId="1095" xr:uid="{00000000-0005-0000-0000-0000C01B0000}"/>
    <cellStyle name="Normal 31 2 5 2 2 2" xfId="1709" xr:uid="{00000000-0005-0000-0000-0000C11B0000}"/>
    <cellStyle name="Normal 31 2 5 2 2 2 2" xfId="2935" xr:uid="{00000000-0005-0000-0000-0000C21B0000}"/>
    <cellStyle name="Normal 31 2 5 2 2 2 2 2" xfId="6795" xr:uid="{00000000-0005-0000-0000-0000C31B0000}"/>
    <cellStyle name="Normal 31 2 5 2 2 2 2 3" xfId="11747" xr:uid="{00000000-0005-0000-0000-0000C41B0000}"/>
    <cellStyle name="Normal 31 2 5 2 2 2 3" xfId="4163" xr:uid="{00000000-0005-0000-0000-0000C51B0000}"/>
    <cellStyle name="Normal 31 2 5 2 2 2 3 2" xfId="8019" xr:uid="{00000000-0005-0000-0000-0000C61B0000}"/>
    <cellStyle name="Normal 31 2 5 2 2 2 3 3" xfId="10505" xr:uid="{00000000-0005-0000-0000-0000C71B0000}"/>
    <cellStyle name="Normal 31 2 5 2 2 2 4" xfId="5571" xr:uid="{00000000-0005-0000-0000-0000C81B0000}"/>
    <cellStyle name="Normal 31 2 5 2 2 2 5" xfId="9263" xr:uid="{00000000-0005-0000-0000-0000C91B0000}"/>
    <cellStyle name="Normal 31 2 5 2 2 3" xfId="2323" xr:uid="{00000000-0005-0000-0000-0000CA1B0000}"/>
    <cellStyle name="Normal 31 2 5 2 2 3 2" xfId="6183" xr:uid="{00000000-0005-0000-0000-0000CB1B0000}"/>
    <cellStyle name="Normal 31 2 5 2 2 3 3" xfId="11099" xr:uid="{00000000-0005-0000-0000-0000CC1B0000}"/>
    <cellStyle name="Normal 31 2 5 2 2 4" xfId="3551" xr:uid="{00000000-0005-0000-0000-0000CD1B0000}"/>
    <cellStyle name="Normal 31 2 5 2 2 4 2" xfId="7407" xr:uid="{00000000-0005-0000-0000-0000CE1B0000}"/>
    <cellStyle name="Normal 31 2 5 2 2 4 3" xfId="9857" xr:uid="{00000000-0005-0000-0000-0000CF1B0000}"/>
    <cellStyle name="Normal 31 2 5 2 2 5" xfId="4959" xr:uid="{00000000-0005-0000-0000-0000D01B0000}"/>
    <cellStyle name="Normal 31 2 5 2 2 6" xfId="8614" xr:uid="{00000000-0005-0000-0000-0000D11B0000}"/>
    <cellStyle name="Normal 31 2 5 2 3" xfId="1403" xr:uid="{00000000-0005-0000-0000-0000D21B0000}"/>
    <cellStyle name="Normal 31 2 5 2 3 2" xfId="2629" xr:uid="{00000000-0005-0000-0000-0000D31B0000}"/>
    <cellStyle name="Normal 31 2 5 2 3 2 2" xfId="6489" xr:uid="{00000000-0005-0000-0000-0000D41B0000}"/>
    <cellStyle name="Normal 31 2 5 2 3 2 3" xfId="11441" xr:uid="{00000000-0005-0000-0000-0000D51B0000}"/>
    <cellStyle name="Normal 31 2 5 2 3 3" xfId="3857" xr:uid="{00000000-0005-0000-0000-0000D61B0000}"/>
    <cellStyle name="Normal 31 2 5 2 3 3 2" xfId="7713" xr:uid="{00000000-0005-0000-0000-0000D71B0000}"/>
    <cellStyle name="Normal 31 2 5 2 3 3 3" xfId="10199" xr:uid="{00000000-0005-0000-0000-0000D81B0000}"/>
    <cellStyle name="Normal 31 2 5 2 3 4" xfId="5265" xr:uid="{00000000-0005-0000-0000-0000D91B0000}"/>
    <cellStyle name="Normal 31 2 5 2 3 5" xfId="8957" xr:uid="{00000000-0005-0000-0000-0000DA1B0000}"/>
    <cellStyle name="Normal 31 2 5 2 4" xfId="2017" xr:uid="{00000000-0005-0000-0000-0000DB1B0000}"/>
    <cellStyle name="Normal 31 2 5 2 4 2" xfId="5877" xr:uid="{00000000-0005-0000-0000-0000DC1B0000}"/>
    <cellStyle name="Normal 31 2 5 2 4 3" xfId="10811" xr:uid="{00000000-0005-0000-0000-0000DD1B0000}"/>
    <cellStyle name="Normal 31 2 5 2 5" xfId="3244" xr:uid="{00000000-0005-0000-0000-0000DE1B0000}"/>
    <cellStyle name="Normal 31 2 5 2 5 2" xfId="7101" xr:uid="{00000000-0005-0000-0000-0000DF1B0000}"/>
    <cellStyle name="Normal 31 2 5 2 5 3" xfId="12017" xr:uid="{00000000-0005-0000-0000-0000E01B0000}"/>
    <cellStyle name="Normal 31 2 5 2 6" xfId="4653" xr:uid="{00000000-0005-0000-0000-0000E11B0000}"/>
    <cellStyle name="Normal 31 2 5 2 6 2" xfId="9569" xr:uid="{00000000-0005-0000-0000-0000E21B0000}"/>
    <cellStyle name="Normal 31 2 5 2 7" xfId="8326" xr:uid="{00000000-0005-0000-0000-0000E31B0000}"/>
    <cellStyle name="Normal 31 2 5 3" xfId="655" xr:uid="{00000000-0005-0000-0000-0000E41B0000}"/>
    <cellStyle name="Normal 31 2 5 3 2" xfId="1005" xr:uid="{00000000-0005-0000-0000-0000E51B0000}"/>
    <cellStyle name="Normal 31 2 5 3 2 2" xfId="1619" xr:uid="{00000000-0005-0000-0000-0000E61B0000}"/>
    <cellStyle name="Normal 31 2 5 3 2 2 2" xfId="2845" xr:uid="{00000000-0005-0000-0000-0000E71B0000}"/>
    <cellStyle name="Normal 31 2 5 3 2 2 2 2" xfId="6705" xr:uid="{00000000-0005-0000-0000-0000E81B0000}"/>
    <cellStyle name="Normal 31 2 5 3 2 2 2 3" xfId="11657" xr:uid="{00000000-0005-0000-0000-0000E91B0000}"/>
    <cellStyle name="Normal 31 2 5 3 2 2 3" xfId="4073" xr:uid="{00000000-0005-0000-0000-0000EA1B0000}"/>
    <cellStyle name="Normal 31 2 5 3 2 2 3 2" xfId="7929" xr:uid="{00000000-0005-0000-0000-0000EB1B0000}"/>
    <cellStyle name="Normal 31 2 5 3 2 2 3 3" xfId="10415" xr:uid="{00000000-0005-0000-0000-0000EC1B0000}"/>
    <cellStyle name="Normal 31 2 5 3 2 2 4" xfId="5481" xr:uid="{00000000-0005-0000-0000-0000ED1B0000}"/>
    <cellStyle name="Normal 31 2 5 3 2 2 5" xfId="9173" xr:uid="{00000000-0005-0000-0000-0000EE1B0000}"/>
    <cellStyle name="Normal 31 2 5 3 2 3" xfId="2233" xr:uid="{00000000-0005-0000-0000-0000EF1B0000}"/>
    <cellStyle name="Normal 31 2 5 3 2 3 2" xfId="6093" xr:uid="{00000000-0005-0000-0000-0000F01B0000}"/>
    <cellStyle name="Normal 31 2 5 3 2 3 3" xfId="11009" xr:uid="{00000000-0005-0000-0000-0000F11B0000}"/>
    <cellStyle name="Normal 31 2 5 3 2 4" xfId="3461" xr:uid="{00000000-0005-0000-0000-0000F21B0000}"/>
    <cellStyle name="Normal 31 2 5 3 2 4 2" xfId="7317" xr:uid="{00000000-0005-0000-0000-0000F31B0000}"/>
    <cellStyle name="Normal 31 2 5 3 2 4 3" xfId="9767" xr:uid="{00000000-0005-0000-0000-0000F41B0000}"/>
    <cellStyle name="Normal 31 2 5 3 2 5" xfId="4869" xr:uid="{00000000-0005-0000-0000-0000F51B0000}"/>
    <cellStyle name="Normal 31 2 5 3 2 6" xfId="8524" xr:uid="{00000000-0005-0000-0000-0000F61B0000}"/>
    <cellStyle name="Normal 31 2 5 3 3" xfId="1313" xr:uid="{00000000-0005-0000-0000-0000F71B0000}"/>
    <cellStyle name="Normal 31 2 5 3 3 2" xfId="2539" xr:uid="{00000000-0005-0000-0000-0000F81B0000}"/>
    <cellStyle name="Normal 31 2 5 3 3 2 2" xfId="6399" xr:uid="{00000000-0005-0000-0000-0000F91B0000}"/>
    <cellStyle name="Normal 31 2 5 3 3 2 3" xfId="11351" xr:uid="{00000000-0005-0000-0000-0000FA1B0000}"/>
    <cellStyle name="Normal 31 2 5 3 3 3" xfId="3767" xr:uid="{00000000-0005-0000-0000-0000FB1B0000}"/>
    <cellStyle name="Normal 31 2 5 3 3 3 2" xfId="7623" xr:uid="{00000000-0005-0000-0000-0000FC1B0000}"/>
    <cellStyle name="Normal 31 2 5 3 3 3 3" xfId="10109" xr:uid="{00000000-0005-0000-0000-0000FD1B0000}"/>
    <cellStyle name="Normal 31 2 5 3 3 4" xfId="5175" xr:uid="{00000000-0005-0000-0000-0000FE1B0000}"/>
    <cellStyle name="Normal 31 2 5 3 3 5" xfId="8867" xr:uid="{00000000-0005-0000-0000-0000FF1B0000}"/>
    <cellStyle name="Normal 31 2 5 3 4" xfId="1927" xr:uid="{00000000-0005-0000-0000-0000001C0000}"/>
    <cellStyle name="Normal 31 2 5 3 4 2" xfId="5787" xr:uid="{00000000-0005-0000-0000-0000011C0000}"/>
    <cellStyle name="Normal 31 2 5 3 4 3" xfId="10721" xr:uid="{00000000-0005-0000-0000-0000021C0000}"/>
    <cellStyle name="Normal 31 2 5 3 5" xfId="3154" xr:uid="{00000000-0005-0000-0000-0000031C0000}"/>
    <cellStyle name="Normal 31 2 5 3 5 2" xfId="7011" xr:uid="{00000000-0005-0000-0000-0000041C0000}"/>
    <cellStyle name="Normal 31 2 5 3 5 3" xfId="11927" xr:uid="{00000000-0005-0000-0000-0000051C0000}"/>
    <cellStyle name="Normal 31 2 5 3 6" xfId="4563" xr:uid="{00000000-0005-0000-0000-0000061C0000}"/>
    <cellStyle name="Normal 31 2 5 3 6 2" xfId="9479" xr:uid="{00000000-0005-0000-0000-0000071C0000}"/>
    <cellStyle name="Normal 31 2 5 3 7" xfId="8236" xr:uid="{00000000-0005-0000-0000-0000081C0000}"/>
    <cellStyle name="Normal 31 2 5 4" xfId="914" xr:uid="{00000000-0005-0000-0000-0000091C0000}"/>
    <cellStyle name="Normal 31 2 5 4 2" xfId="1529" xr:uid="{00000000-0005-0000-0000-00000A1C0000}"/>
    <cellStyle name="Normal 31 2 5 4 2 2" xfId="2755" xr:uid="{00000000-0005-0000-0000-00000B1C0000}"/>
    <cellStyle name="Normal 31 2 5 4 2 2 2" xfId="6615" xr:uid="{00000000-0005-0000-0000-00000C1C0000}"/>
    <cellStyle name="Normal 31 2 5 4 2 2 3" xfId="11567" xr:uid="{00000000-0005-0000-0000-00000D1C0000}"/>
    <cellStyle name="Normal 31 2 5 4 2 3" xfId="3983" xr:uid="{00000000-0005-0000-0000-00000E1C0000}"/>
    <cellStyle name="Normal 31 2 5 4 2 3 2" xfId="7839" xr:uid="{00000000-0005-0000-0000-00000F1C0000}"/>
    <cellStyle name="Normal 31 2 5 4 2 3 3" xfId="10325" xr:uid="{00000000-0005-0000-0000-0000101C0000}"/>
    <cellStyle name="Normal 31 2 5 4 2 4" xfId="5391" xr:uid="{00000000-0005-0000-0000-0000111C0000}"/>
    <cellStyle name="Normal 31 2 5 4 2 5" xfId="9083" xr:uid="{00000000-0005-0000-0000-0000121C0000}"/>
    <cellStyle name="Normal 31 2 5 4 3" xfId="2143" xr:uid="{00000000-0005-0000-0000-0000131C0000}"/>
    <cellStyle name="Normal 31 2 5 4 3 2" xfId="6003" xr:uid="{00000000-0005-0000-0000-0000141C0000}"/>
    <cellStyle name="Normal 31 2 5 4 3 3" xfId="10919" xr:uid="{00000000-0005-0000-0000-0000151C0000}"/>
    <cellStyle name="Normal 31 2 5 4 4" xfId="3371" xr:uid="{00000000-0005-0000-0000-0000161C0000}"/>
    <cellStyle name="Normal 31 2 5 4 4 2" xfId="7227" xr:uid="{00000000-0005-0000-0000-0000171C0000}"/>
    <cellStyle name="Normal 31 2 5 4 4 3" xfId="9677" xr:uid="{00000000-0005-0000-0000-0000181C0000}"/>
    <cellStyle name="Normal 31 2 5 4 5" xfId="4779" xr:uid="{00000000-0005-0000-0000-0000191C0000}"/>
    <cellStyle name="Normal 31 2 5 4 6" xfId="8434" xr:uid="{00000000-0005-0000-0000-00001A1C0000}"/>
    <cellStyle name="Normal 31 2 5 5" xfId="1223" xr:uid="{00000000-0005-0000-0000-00001B1C0000}"/>
    <cellStyle name="Normal 31 2 5 5 2" xfId="2449" xr:uid="{00000000-0005-0000-0000-00001C1C0000}"/>
    <cellStyle name="Normal 31 2 5 5 2 2" xfId="6309" xr:uid="{00000000-0005-0000-0000-00001D1C0000}"/>
    <cellStyle name="Normal 31 2 5 5 2 3" xfId="11261" xr:uid="{00000000-0005-0000-0000-00001E1C0000}"/>
    <cellStyle name="Normal 31 2 5 5 3" xfId="3677" xr:uid="{00000000-0005-0000-0000-00001F1C0000}"/>
    <cellStyle name="Normal 31 2 5 5 3 2" xfId="7533" xr:uid="{00000000-0005-0000-0000-0000201C0000}"/>
    <cellStyle name="Normal 31 2 5 5 3 3" xfId="10019" xr:uid="{00000000-0005-0000-0000-0000211C0000}"/>
    <cellStyle name="Normal 31 2 5 5 4" xfId="5085" xr:uid="{00000000-0005-0000-0000-0000221C0000}"/>
    <cellStyle name="Normal 31 2 5 5 5" xfId="8777" xr:uid="{00000000-0005-0000-0000-0000231C0000}"/>
    <cellStyle name="Normal 31 2 5 6" xfId="1837" xr:uid="{00000000-0005-0000-0000-0000241C0000}"/>
    <cellStyle name="Normal 31 2 5 6 2" xfId="5697" xr:uid="{00000000-0005-0000-0000-0000251C0000}"/>
    <cellStyle name="Normal 31 2 5 6 3" xfId="10631" xr:uid="{00000000-0005-0000-0000-0000261C0000}"/>
    <cellStyle name="Normal 31 2 5 7" xfId="3064" xr:uid="{00000000-0005-0000-0000-0000271C0000}"/>
    <cellStyle name="Normal 31 2 5 7 2" xfId="6921" xr:uid="{00000000-0005-0000-0000-0000281C0000}"/>
    <cellStyle name="Normal 31 2 5 7 3" xfId="11837" xr:uid="{00000000-0005-0000-0000-0000291C0000}"/>
    <cellStyle name="Normal 31 2 5 8" xfId="4473" xr:uid="{00000000-0005-0000-0000-00002A1C0000}"/>
    <cellStyle name="Normal 31 2 5 8 2" xfId="9389" xr:uid="{00000000-0005-0000-0000-00002B1C0000}"/>
    <cellStyle name="Normal 31 2 5 9" xfId="8146" xr:uid="{00000000-0005-0000-0000-00002C1C0000}"/>
    <cellStyle name="Normal 31 2 6" xfId="507" xr:uid="{00000000-0005-0000-0000-00002D1C0000}"/>
    <cellStyle name="Normal 31 2 6 2" xfId="709" xr:uid="{00000000-0005-0000-0000-00002E1C0000}"/>
    <cellStyle name="Normal 31 2 6 2 2" xfId="1059" xr:uid="{00000000-0005-0000-0000-00002F1C0000}"/>
    <cellStyle name="Normal 31 2 6 2 2 2" xfId="1673" xr:uid="{00000000-0005-0000-0000-0000301C0000}"/>
    <cellStyle name="Normal 31 2 6 2 2 2 2" xfId="2899" xr:uid="{00000000-0005-0000-0000-0000311C0000}"/>
    <cellStyle name="Normal 31 2 6 2 2 2 2 2" xfId="6759" xr:uid="{00000000-0005-0000-0000-0000321C0000}"/>
    <cellStyle name="Normal 31 2 6 2 2 2 2 3" xfId="11711" xr:uid="{00000000-0005-0000-0000-0000331C0000}"/>
    <cellStyle name="Normal 31 2 6 2 2 2 3" xfId="4127" xr:uid="{00000000-0005-0000-0000-0000341C0000}"/>
    <cellStyle name="Normal 31 2 6 2 2 2 3 2" xfId="7983" xr:uid="{00000000-0005-0000-0000-0000351C0000}"/>
    <cellStyle name="Normal 31 2 6 2 2 2 3 3" xfId="10469" xr:uid="{00000000-0005-0000-0000-0000361C0000}"/>
    <cellStyle name="Normal 31 2 6 2 2 2 4" xfId="5535" xr:uid="{00000000-0005-0000-0000-0000371C0000}"/>
    <cellStyle name="Normal 31 2 6 2 2 2 5" xfId="9227" xr:uid="{00000000-0005-0000-0000-0000381C0000}"/>
    <cellStyle name="Normal 31 2 6 2 2 3" xfId="2287" xr:uid="{00000000-0005-0000-0000-0000391C0000}"/>
    <cellStyle name="Normal 31 2 6 2 2 3 2" xfId="6147" xr:uid="{00000000-0005-0000-0000-00003A1C0000}"/>
    <cellStyle name="Normal 31 2 6 2 2 3 3" xfId="11063" xr:uid="{00000000-0005-0000-0000-00003B1C0000}"/>
    <cellStyle name="Normal 31 2 6 2 2 4" xfId="3515" xr:uid="{00000000-0005-0000-0000-00003C1C0000}"/>
    <cellStyle name="Normal 31 2 6 2 2 4 2" xfId="7371" xr:uid="{00000000-0005-0000-0000-00003D1C0000}"/>
    <cellStyle name="Normal 31 2 6 2 2 4 3" xfId="9821" xr:uid="{00000000-0005-0000-0000-00003E1C0000}"/>
    <cellStyle name="Normal 31 2 6 2 2 5" xfId="4923" xr:uid="{00000000-0005-0000-0000-00003F1C0000}"/>
    <cellStyle name="Normal 31 2 6 2 2 6" xfId="8578" xr:uid="{00000000-0005-0000-0000-0000401C0000}"/>
    <cellStyle name="Normal 31 2 6 2 3" xfId="1367" xr:uid="{00000000-0005-0000-0000-0000411C0000}"/>
    <cellStyle name="Normal 31 2 6 2 3 2" xfId="2593" xr:uid="{00000000-0005-0000-0000-0000421C0000}"/>
    <cellStyle name="Normal 31 2 6 2 3 2 2" xfId="6453" xr:uid="{00000000-0005-0000-0000-0000431C0000}"/>
    <cellStyle name="Normal 31 2 6 2 3 2 3" xfId="11405" xr:uid="{00000000-0005-0000-0000-0000441C0000}"/>
    <cellStyle name="Normal 31 2 6 2 3 3" xfId="3821" xr:uid="{00000000-0005-0000-0000-0000451C0000}"/>
    <cellStyle name="Normal 31 2 6 2 3 3 2" xfId="7677" xr:uid="{00000000-0005-0000-0000-0000461C0000}"/>
    <cellStyle name="Normal 31 2 6 2 3 3 3" xfId="10163" xr:uid="{00000000-0005-0000-0000-0000471C0000}"/>
    <cellStyle name="Normal 31 2 6 2 3 4" xfId="5229" xr:uid="{00000000-0005-0000-0000-0000481C0000}"/>
    <cellStyle name="Normal 31 2 6 2 3 5" xfId="8921" xr:uid="{00000000-0005-0000-0000-0000491C0000}"/>
    <cellStyle name="Normal 31 2 6 2 4" xfId="1981" xr:uid="{00000000-0005-0000-0000-00004A1C0000}"/>
    <cellStyle name="Normal 31 2 6 2 4 2" xfId="5841" xr:uid="{00000000-0005-0000-0000-00004B1C0000}"/>
    <cellStyle name="Normal 31 2 6 2 4 3" xfId="10775" xr:uid="{00000000-0005-0000-0000-00004C1C0000}"/>
    <cellStyle name="Normal 31 2 6 2 5" xfId="3208" xr:uid="{00000000-0005-0000-0000-00004D1C0000}"/>
    <cellStyle name="Normal 31 2 6 2 5 2" xfId="7065" xr:uid="{00000000-0005-0000-0000-00004E1C0000}"/>
    <cellStyle name="Normal 31 2 6 2 5 3" xfId="11981" xr:uid="{00000000-0005-0000-0000-00004F1C0000}"/>
    <cellStyle name="Normal 31 2 6 2 6" xfId="4617" xr:uid="{00000000-0005-0000-0000-0000501C0000}"/>
    <cellStyle name="Normal 31 2 6 2 6 2" xfId="9533" xr:uid="{00000000-0005-0000-0000-0000511C0000}"/>
    <cellStyle name="Normal 31 2 6 2 7" xfId="8290" xr:uid="{00000000-0005-0000-0000-0000521C0000}"/>
    <cellStyle name="Normal 31 2 6 3" xfId="619" xr:uid="{00000000-0005-0000-0000-0000531C0000}"/>
    <cellStyle name="Normal 31 2 6 3 2" xfId="969" xr:uid="{00000000-0005-0000-0000-0000541C0000}"/>
    <cellStyle name="Normal 31 2 6 3 2 2" xfId="1583" xr:uid="{00000000-0005-0000-0000-0000551C0000}"/>
    <cellStyle name="Normal 31 2 6 3 2 2 2" xfId="2809" xr:uid="{00000000-0005-0000-0000-0000561C0000}"/>
    <cellStyle name="Normal 31 2 6 3 2 2 2 2" xfId="6669" xr:uid="{00000000-0005-0000-0000-0000571C0000}"/>
    <cellStyle name="Normal 31 2 6 3 2 2 2 3" xfId="11621" xr:uid="{00000000-0005-0000-0000-0000581C0000}"/>
    <cellStyle name="Normal 31 2 6 3 2 2 3" xfId="4037" xr:uid="{00000000-0005-0000-0000-0000591C0000}"/>
    <cellStyle name="Normal 31 2 6 3 2 2 3 2" xfId="7893" xr:uid="{00000000-0005-0000-0000-00005A1C0000}"/>
    <cellStyle name="Normal 31 2 6 3 2 2 3 3" xfId="10379" xr:uid="{00000000-0005-0000-0000-00005B1C0000}"/>
    <cellStyle name="Normal 31 2 6 3 2 2 4" xfId="5445" xr:uid="{00000000-0005-0000-0000-00005C1C0000}"/>
    <cellStyle name="Normal 31 2 6 3 2 2 5" xfId="9137" xr:uid="{00000000-0005-0000-0000-00005D1C0000}"/>
    <cellStyle name="Normal 31 2 6 3 2 3" xfId="2197" xr:uid="{00000000-0005-0000-0000-00005E1C0000}"/>
    <cellStyle name="Normal 31 2 6 3 2 3 2" xfId="6057" xr:uid="{00000000-0005-0000-0000-00005F1C0000}"/>
    <cellStyle name="Normal 31 2 6 3 2 3 3" xfId="10973" xr:uid="{00000000-0005-0000-0000-0000601C0000}"/>
    <cellStyle name="Normal 31 2 6 3 2 4" xfId="3425" xr:uid="{00000000-0005-0000-0000-0000611C0000}"/>
    <cellStyle name="Normal 31 2 6 3 2 4 2" xfId="7281" xr:uid="{00000000-0005-0000-0000-0000621C0000}"/>
    <cellStyle name="Normal 31 2 6 3 2 4 3" xfId="9731" xr:uid="{00000000-0005-0000-0000-0000631C0000}"/>
    <cellStyle name="Normal 31 2 6 3 2 5" xfId="4833" xr:uid="{00000000-0005-0000-0000-0000641C0000}"/>
    <cellStyle name="Normal 31 2 6 3 2 6" xfId="8488" xr:uid="{00000000-0005-0000-0000-0000651C0000}"/>
    <cellStyle name="Normal 31 2 6 3 3" xfId="1277" xr:uid="{00000000-0005-0000-0000-0000661C0000}"/>
    <cellStyle name="Normal 31 2 6 3 3 2" xfId="2503" xr:uid="{00000000-0005-0000-0000-0000671C0000}"/>
    <cellStyle name="Normal 31 2 6 3 3 2 2" xfId="6363" xr:uid="{00000000-0005-0000-0000-0000681C0000}"/>
    <cellStyle name="Normal 31 2 6 3 3 2 3" xfId="11315" xr:uid="{00000000-0005-0000-0000-0000691C0000}"/>
    <cellStyle name="Normal 31 2 6 3 3 3" xfId="3731" xr:uid="{00000000-0005-0000-0000-00006A1C0000}"/>
    <cellStyle name="Normal 31 2 6 3 3 3 2" xfId="7587" xr:uid="{00000000-0005-0000-0000-00006B1C0000}"/>
    <cellStyle name="Normal 31 2 6 3 3 3 3" xfId="10073" xr:uid="{00000000-0005-0000-0000-00006C1C0000}"/>
    <cellStyle name="Normal 31 2 6 3 3 4" xfId="5139" xr:uid="{00000000-0005-0000-0000-00006D1C0000}"/>
    <cellStyle name="Normal 31 2 6 3 3 5" xfId="8831" xr:uid="{00000000-0005-0000-0000-00006E1C0000}"/>
    <cellStyle name="Normal 31 2 6 3 4" xfId="1891" xr:uid="{00000000-0005-0000-0000-00006F1C0000}"/>
    <cellStyle name="Normal 31 2 6 3 4 2" xfId="5751" xr:uid="{00000000-0005-0000-0000-0000701C0000}"/>
    <cellStyle name="Normal 31 2 6 3 4 3" xfId="10685" xr:uid="{00000000-0005-0000-0000-0000711C0000}"/>
    <cellStyle name="Normal 31 2 6 3 5" xfId="3118" xr:uid="{00000000-0005-0000-0000-0000721C0000}"/>
    <cellStyle name="Normal 31 2 6 3 5 2" xfId="6975" xr:uid="{00000000-0005-0000-0000-0000731C0000}"/>
    <cellStyle name="Normal 31 2 6 3 5 3" xfId="11891" xr:uid="{00000000-0005-0000-0000-0000741C0000}"/>
    <cellStyle name="Normal 31 2 6 3 6" xfId="4527" xr:uid="{00000000-0005-0000-0000-0000751C0000}"/>
    <cellStyle name="Normal 31 2 6 3 6 2" xfId="9443" xr:uid="{00000000-0005-0000-0000-0000761C0000}"/>
    <cellStyle name="Normal 31 2 6 3 7" xfId="8200" xr:uid="{00000000-0005-0000-0000-0000771C0000}"/>
    <cellStyle name="Normal 31 2 6 4" xfId="857" xr:uid="{00000000-0005-0000-0000-0000781C0000}"/>
    <cellStyle name="Normal 31 2 6 4 2" xfId="1493" xr:uid="{00000000-0005-0000-0000-0000791C0000}"/>
    <cellStyle name="Normal 31 2 6 4 2 2" xfId="2719" xr:uid="{00000000-0005-0000-0000-00007A1C0000}"/>
    <cellStyle name="Normal 31 2 6 4 2 2 2" xfId="6579" xr:uid="{00000000-0005-0000-0000-00007B1C0000}"/>
    <cellStyle name="Normal 31 2 6 4 2 2 3" xfId="11531" xr:uid="{00000000-0005-0000-0000-00007C1C0000}"/>
    <cellStyle name="Normal 31 2 6 4 2 3" xfId="3947" xr:uid="{00000000-0005-0000-0000-00007D1C0000}"/>
    <cellStyle name="Normal 31 2 6 4 2 3 2" xfId="7803" xr:uid="{00000000-0005-0000-0000-00007E1C0000}"/>
    <cellStyle name="Normal 31 2 6 4 2 3 3" xfId="10289" xr:uid="{00000000-0005-0000-0000-00007F1C0000}"/>
    <cellStyle name="Normal 31 2 6 4 2 4" xfId="5355" xr:uid="{00000000-0005-0000-0000-0000801C0000}"/>
    <cellStyle name="Normal 31 2 6 4 2 5" xfId="9047" xr:uid="{00000000-0005-0000-0000-0000811C0000}"/>
    <cellStyle name="Normal 31 2 6 4 3" xfId="2107" xr:uid="{00000000-0005-0000-0000-0000821C0000}"/>
    <cellStyle name="Normal 31 2 6 4 3 2" xfId="5967" xr:uid="{00000000-0005-0000-0000-0000831C0000}"/>
    <cellStyle name="Normal 31 2 6 4 3 3" xfId="10883" xr:uid="{00000000-0005-0000-0000-0000841C0000}"/>
    <cellStyle name="Normal 31 2 6 4 4" xfId="3335" xr:uid="{00000000-0005-0000-0000-0000851C0000}"/>
    <cellStyle name="Normal 31 2 6 4 4 2" xfId="7191" xr:uid="{00000000-0005-0000-0000-0000861C0000}"/>
    <cellStyle name="Normal 31 2 6 4 4 3" xfId="9641" xr:uid="{00000000-0005-0000-0000-0000871C0000}"/>
    <cellStyle name="Normal 31 2 6 4 5" xfId="4743" xr:uid="{00000000-0005-0000-0000-0000881C0000}"/>
    <cellStyle name="Normal 31 2 6 4 6" xfId="8398" xr:uid="{00000000-0005-0000-0000-0000891C0000}"/>
    <cellStyle name="Normal 31 2 6 5" xfId="1187" xr:uid="{00000000-0005-0000-0000-00008A1C0000}"/>
    <cellStyle name="Normal 31 2 6 5 2" xfId="2413" xr:uid="{00000000-0005-0000-0000-00008B1C0000}"/>
    <cellStyle name="Normal 31 2 6 5 2 2" xfId="6273" xr:uid="{00000000-0005-0000-0000-00008C1C0000}"/>
    <cellStyle name="Normal 31 2 6 5 2 3" xfId="11225" xr:uid="{00000000-0005-0000-0000-00008D1C0000}"/>
    <cellStyle name="Normal 31 2 6 5 3" xfId="3641" xr:uid="{00000000-0005-0000-0000-00008E1C0000}"/>
    <cellStyle name="Normal 31 2 6 5 3 2" xfId="7497" xr:uid="{00000000-0005-0000-0000-00008F1C0000}"/>
    <cellStyle name="Normal 31 2 6 5 3 3" xfId="9983" xr:uid="{00000000-0005-0000-0000-0000901C0000}"/>
    <cellStyle name="Normal 31 2 6 5 4" xfId="5049" xr:uid="{00000000-0005-0000-0000-0000911C0000}"/>
    <cellStyle name="Normal 31 2 6 5 5" xfId="8741" xr:uid="{00000000-0005-0000-0000-0000921C0000}"/>
    <cellStyle name="Normal 31 2 6 6" xfId="1801" xr:uid="{00000000-0005-0000-0000-0000931C0000}"/>
    <cellStyle name="Normal 31 2 6 6 2" xfId="5661" xr:uid="{00000000-0005-0000-0000-0000941C0000}"/>
    <cellStyle name="Normal 31 2 6 6 3" xfId="10595" xr:uid="{00000000-0005-0000-0000-0000951C0000}"/>
    <cellStyle name="Normal 31 2 6 7" xfId="3028" xr:uid="{00000000-0005-0000-0000-0000961C0000}"/>
    <cellStyle name="Normal 31 2 6 7 2" xfId="6885" xr:uid="{00000000-0005-0000-0000-0000971C0000}"/>
    <cellStyle name="Normal 31 2 6 7 3" xfId="11801" xr:uid="{00000000-0005-0000-0000-0000981C0000}"/>
    <cellStyle name="Normal 31 2 6 8" xfId="4437" xr:uid="{00000000-0005-0000-0000-0000991C0000}"/>
    <cellStyle name="Normal 31 2 6 8 2" xfId="9353" xr:uid="{00000000-0005-0000-0000-00009A1C0000}"/>
    <cellStyle name="Normal 31 2 6 9" xfId="8110" xr:uid="{00000000-0005-0000-0000-00009B1C0000}"/>
    <cellStyle name="Normal 31 2 7" xfId="691" xr:uid="{00000000-0005-0000-0000-00009C1C0000}"/>
    <cellStyle name="Normal 31 2 7 2" xfId="1041" xr:uid="{00000000-0005-0000-0000-00009D1C0000}"/>
    <cellStyle name="Normal 31 2 7 2 2" xfId="1655" xr:uid="{00000000-0005-0000-0000-00009E1C0000}"/>
    <cellStyle name="Normal 31 2 7 2 2 2" xfId="2881" xr:uid="{00000000-0005-0000-0000-00009F1C0000}"/>
    <cellStyle name="Normal 31 2 7 2 2 2 2" xfId="6741" xr:uid="{00000000-0005-0000-0000-0000A01C0000}"/>
    <cellStyle name="Normal 31 2 7 2 2 2 3" xfId="11693" xr:uid="{00000000-0005-0000-0000-0000A11C0000}"/>
    <cellStyle name="Normal 31 2 7 2 2 3" xfId="4109" xr:uid="{00000000-0005-0000-0000-0000A21C0000}"/>
    <cellStyle name="Normal 31 2 7 2 2 3 2" xfId="7965" xr:uid="{00000000-0005-0000-0000-0000A31C0000}"/>
    <cellStyle name="Normal 31 2 7 2 2 3 3" xfId="10451" xr:uid="{00000000-0005-0000-0000-0000A41C0000}"/>
    <cellStyle name="Normal 31 2 7 2 2 4" xfId="5517" xr:uid="{00000000-0005-0000-0000-0000A51C0000}"/>
    <cellStyle name="Normal 31 2 7 2 2 5" xfId="9209" xr:uid="{00000000-0005-0000-0000-0000A61C0000}"/>
    <cellStyle name="Normal 31 2 7 2 3" xfId="2269" xr:uid="{00000000-0005-0000-0000-0000A71C0000}"/>
    <cellStyle name="Normal 31 2 7 2 3 2" xfId="6129" xr:uid="{00000000-0005-0000-0000-0000A81C0000}"/>
    <cellStyle name="Normal 31 2 7 2 3 3" xfId="11045" xr:uid="{00000000-0005-0000-0000-0000A91C0000}"/>
    <cellStyle name="Normal 31 2 7 2 4" xfId="3497" xr:uid="{00000000-0005-0000-0000-0000AA1C0000}"/>
    <cellStyle name="Normal 31 2 7 2 4 2" xfId="7353" xr:uid="{00000000-0005-0000-0000-0000AB1C0000}"/>
    <cellStyle name="Normal 31 2 7 2 4 3" xfId="9803" xr:uid="{00000000-0005-0000-0000-0000AC1C0000}"/>
    <cellStyle name="Normal 31 2 7 2 5" xfId="4905" xr:uid="{00000000-0005-0000-0000-0000AD1C0000}"/>
    <cellStyle name="Normal 31 2 7 2 6" xfId="8560" xr:uid="{00000000-0005-0000-0000-0000AE1C0000}"/>
    <cellStyle name="Normal 31 2 7 3" xfId="1349" xr:uid="{00000000-0005-0000-0000-0000AF1C0000}"/>
    <cellStyle name="Normal 31 2 7 3 2" xfId="2575" xr:uid="{00000000-0005-0000-0000-0000B01C0000}"/>
    <cellStyle name="Normal 31 2 7 3 2 2" xfId="6435" xr:uid="{00000000-0005-0000-0000-0000B11C0000}"/>
    <cellStyle name="Normal 31 2 7 3 2 3" xfId="11387" xr:uid="{00000000-0005-0000-0000-0000B21C0000}"/>
    <cellStyle name="Normal 31 2 7 3 3" xfId="3803" xr:uid="{00000000-0005-0000-0000-0000B31C0000}"/>
    <cellStyle name="Normal 31 2 7 3 3 2" xfId="7659" xr:uid="{00000000-0005-0000-0000-0000B41C0000}"/>
    <cellStyle name="Normal 31 2 7 3 3 3" xfId="10145" xr:uid="{00000000-0005-0000-0000-0000B51C0000}"/>
    <cellStyle name="Normal 31 2 7 3 4" xfId="5211" xr:uid="{00000000-0005-0000-0000-0000B61C0000}"/>
    <cellStyle name="Normal 31 2 7 3 5" xfId="8903" xr:uid="{00000000-0005-0000-0000-0000B71C0000}"/>
    <cellStyle name="Normal 31 2 7 4" xfId="1963" xr:uid="{00000000-0005-0000-0000-0000B81C0000}"/>
    <cellStyle name="Normal 31 2 7 4 2" xfId="5823" xr:uid="{00000000-0005-0000-0000-0000B91C0000}"/>
    <cellStyle name="Normal 31 2 7 4 3" xfId="10757" xr:uid="{00000000-0005-0000-0000-0000BA1C0000}"/>
    <cellStyle name="Normal 31 2 7 5" xfId="3190" xr:uid="{00000000-0005-0000-0000-0000BB1C0000}"/>
    <cellStyle name="Normal 31 2 7 5 2" xfId="7047" xr:uid="{00000000-0005-0000-0000-0000BC1C0000}"/>
    <cellStyle name="Normal 31 2 7 5 3" xfId="11963" xr:uid="{00000000-0005-0000-0000-0000BD1C0000}"/>
    <cellStyle name="Normal 31 2 7 6" xfId="4599" xr:uid="{00000000-0005-0000-0000-0000BE1C0000}"/>
    <cellStyle name="Normal 31 2 7 6 2" xfId="9515" xr:uid="{00000000-0005-0000-0000-0000BF1C0000}"/>
    <cellStyle name="Normal 31 2 7 7" xfId="8272" xr:uid="{00000000-0005-0000-0000-0000C01C0000}"/>
    <cellStyle name="Normal 31 2 8" xfId="601" xr:uid="{00000000-0005-0000-0000-0000C11C0000}"/>
    <cellStyle name="Normal 31 2 8 2" xfId="951" xr:uid="{00000000-0005-0000-0000-0000C21C0000}"/>
    <cellStyle name="Normal 31 2 8 2 2" xfId="1565" xr:uid="{00000000-0005-0000-0000-0000C31C0000}"/>
    <cellStyle name="Normal 31 2 8 2 2 2" xfId="2791" xr:uid="{00000000-0005-0000-0000-0000C41C0000}"/>
    <cellStyle name="Normal 31 2 8 2 2 2 2" xfId="6651" xr:uid="{00000000-0005-0000-0000-0000C51C0000}"/>
    <cellStyle name="Normal 31 2 8 2 2 2 3" xfId="11603" xr:uid="{00000000-0005-0000-0000-0000C61C0000}"/>
    <cellStyle name="Normal 31 2 8 2 2 3" xfId="4019" xr:uid="{00000000-0005-0000-0000-0000C71C0000}"/>
    <cellStyle name="Normal 31 2 8 2 2 3 2" xfId="7875" xr:uid="{00000000-0005-0000-0000-0000C81C0000}"/>
    <cellStyle name="Normal 31 2 8 2 2 3 3" xfId="10361" xr:uid="{00000000-0005-0000-0000-0000C91C0000}"/>
    <cellStyle name="Normal 31 2 8 2 2 4" xfId="5427" xr:uid="{00000000-0005-0000-0000-0000CA1C0000}"/>
    <cellStyle name="Normal 31 2 8 2 2 5" xfId="9119" xr:uid="{00000000-0005-0000-0000-0000CB1C0000}"/>
    <cellStyle name="Normal 31 2 8 2 3" xfId="2179" xr:uid="{00000000-0005-0000-0000-0000CC1C0000}"/>
    <cellStyle name="Normal 31 2 8 2 3 2" xfId="6039" xr:uid="{00000000-0005-0000-0000-0000CD1C0000}"/>
    <cellStyle name="Normal 31 2 8 2 3 3" xfId="10955" xr:uid="{00000000-0005-0000-0000-0000CE1C0000}"/>
    <cellStyle name="Normal 31 2 8 2 4" xfId="3407" xr:uid="{00000000-0005-0000-0000-0000CF1C0000}"/>
    <cellStyle name="Normal 31 2 8 2 4 2" xfId="7263" xr:uid="{00000000-0005-0000-0000-0000D01C0000}"/>
    <cellStyle name="Normal 31 2 8 2 4 3" xfId="9713" xr:uid="{00000000-0005-0000-0000-0000D11C0000}"/>
    <cellStyle name="Normal 31 2 8 2 5" xfId="4815" xr:uid="{00000000-0005-0000-0000-0000D21C0000}"/>
    <cellStyle name="Normal 31 2 8 2 6" xfId="8470" xr:uid="{00000000-0005-0000-0000-0000D31C0000}"/>
    <cellStyle name="Normal 31 2 8 3" xfId="1259" xr:uid="{00000000-0005-0000-0000-0000D41C0000}"/>
    <cellStyle name="Normal 31 2 8 3 2" xfId="2485" xr:uid="{00000000-0005-0000-0000-0000D51C0000}"/>
    <cellStyle name="Normal 31 2 8 3 2 2" xfId="6345" xr:uid="{00000000-0005-0000-0000-0000D61C0000}"/>
    <cellStyle name="Normal 31 2 8 3 2 3" xfId="11297" xr:uid="{00000000-0005-0000-0000-0000D71C0000}"/>
    <cellStyle name="Normal 31 2 8 3 3" xfId="3713" xr:uid="{00000000-0005-0000-0000-0000D81C0000}"/>
    <cellStyle name="Normal 31 2 8 3 3 2" xfId="7569" xr:uid="{00000000-0005-0000-0000-0000D91C0000}"/>
    <cellStyle name="Normal 31 2 8 3 3 3" xfId="10055" xr:uid="{00000000-0005-0000-0000-0000DA1C0000}"/>
    <cellStyle name="Normal 31 2 8 3 4" xfId="5121" xr:uid="{00000000-0005-0000-0000-0000DB1C0000}"/>
    <cellStyle name="Normal 31 2 8 3 5" xfId="8813" xr:uid="{00000000-0005-0000-0000-0000DC1C0000}"/>
    <cellStyle name="Normal 31 2 8 4" xfId="1873" xr:uid="{00000000-0005-0000-0000-0000DD1C0000}"/>
    <cellStyle name="Normal 31 2 8 4 2" xfId="5733" xr:uid="{00000000-0005-0000-0000-0000DE1C0000}"/>
    <cellStyle name="Normal 31 2 8 4 3" xfId="10667" xr:uid="{00000000-0005-0000-0000-0000DF1C0000}"/>
    <cellStyle name="Normal 31 2 8 5" xfId="3100" xr:uid="{00000000-0005-0000-0000-0000E01C0000}"/>
    <cellStyle name="Normal 31 2 8 5 2" xfId="6957" xr:uid="{00000000-0005-0000-0000-0000E11C0000}"/>
    <cellStyle name="Normal 31 2 8 5 3" xfId="11873" xr:uid="{00000000-0005-0000-0000-0000E21C0000}"/>
    <cellStyle name="Normal 31 2 8 6" xfId="4509" xr:uid="{00000000-0005-0000-0000-0000E31C0000}"/>
    <cellStyle name="Normal 31 2 8 6 2" xfId="9425" xr:uid="{00000000-0005-0000-0000-0000E41C0000}"/>
    <cellStyle name="Normal 31 2 8 7" xfId="8182" xr:uid="{00000000-0005-0000-0000-0000E51C0000}"/>
    <cellStyle name="Normal 31 2 9" xfId="487" xr:uid="{00000000-0005-0000-0000-0000E61C0000}"/>
    <cellStyle name="Normal 31 2 9 2" xfId="837" xr:uid="{00000000-0005-0000-0000-0000E71C0000}"/>
    <cellStyle name="Normal 31 2 9 2 2" xfId="1475" xr:uid="{00000000-0005-0000-0000-0000E81C0000}"/>
    <cellStyle name="Normal 31 2 9 2 2 2" xfId="2701" xr:uid="{00000000-0005-0000-0000-0000E91C0000}"/>
    <cellStyle name="Normal 31 2 9 2 2 2 2" xfId="6561" xr:uid="{00000000-0005-0000-0000-0000EA1C0000}"/>
    <cellStyle name="Normal 31 2 9 2 2 2 3" xfId="11513" xr:uid="{00000000-0005-0000-0000-0000EB1C0000}"/>
    <cellStyle name="Normal 31 2 9 2 2 3" xfId="3929" xr:uid="{00000000-0005-0000-0000-0000EC1C0000}"/>
    <cellStyle name="Normal 31 2 9 2 2 3 2" xfId="7785" xr:uid="{00000000-0005-0000-0000-0000ED1C0000}"/>
    <cellStyle name="Normal 31 2 9 2 2 3 3" xfId="10271" xr:uid="{00000000-0005-0000-0000-0000EE1C0000}"/>
    <cellStyle name="Normal 31 2 9 2 2 4" xfId="5337" xr:uid="{00000000-0005-0000-0000-0000EF1C0000}"/>
    <cellStyle name="Normal 31 2 9 2 2 5" xfId="9029" xr:uid="{00000000-0005-0000-0000-0000F01C0000}"/>
    <cellStyle name="Normal 31 2 9 2 3" xfId="2089" xr:uid="{00000000-0005-0000-0000-0000F11C0000}"/>
    <cellStyle name="Normal 31 2 9 2 3 2" xfId="5949" xr:uid="{00000000-0005-0000-0000-0000F21C0000}"/>
    <cellStyle name="Normal 31 2 9 2 3 3" xfId="10865" xr:uid="{00000000-0005-0000-0000-0000F31C0000}"/>
    <cellStyle name="Normal 31 2 9 2 4" xfId="3317" xr:uid="{00000000-0005-0000-0000-0000F41C0000}"/>
    <cellStyle name="Normal 31 2 9 2 4 2" xfId="7173" xr:uid="{00000000-0005-0000-0000-0000F51C0000}"/>
    <cellStyle name="Normal 31 2 9 2 4 3" xfId="9623" xr:uid="{00000000-0005-0000-0000-0000F61C0000}"/>
    <cellStyle name="Normal 31 2 9 2 5" xfId="4725" xr:uid="{00000000-0005-0000-0000-0000F71C0000}"/>
    <cellStyle name="Normal 31 2 9 2 6" xfId="8380" xr:uid="{00000000-0005-0000-0000-0000F81C0000}"/>
    <cellStyle name="Normal 31 2 9 3" xfId="1169" xr:uid="{00000000-0005-0000-0000-0000F91C0000}"/>
    <cellStyle name="Normal 31 2 9 3 2" xfId="2395" xr:uid="{00000000-0005-0000-0000-0000FA1C0000}"/>
    <cellStyle name="Normal 31 2 9 3 2 2" xfId="6255" xr:uid="{00000000-0005-0000-0000-0000FB1C0000}"/>
    <cellStyle name="Normal 31 2 9 3 2 3" xfId="11207" xr:uid="{00000000-0005-0000-0000-0000FC1C0000}"/>
    <cellStyle name="Normal 31 2 9 3 3" xfId="3623" xr:uid="{00000000-0005-0000-0000-0000FD1C0000}"/>
    <cellStyle name="Normal 31 2 9 3 3 2" xfId="7479" xr:uid="{00000000-0005-0000-0000-0000FE1C0000}"/>
    <cellStyle name="Normal 31 2 9 3 3 3" xfId="9965" xr:uid="{00000000-0005-0000-0000-0000FF1C0000}"/>
    <cellStyle name="Normal 31 2 9 3 4" xfId="5031" xr:uid="{00000000-0005-0000-0000-0000001D0000}"/>
    <cellStyle name="Normal 31 2 9 3 5" xfId="8723" xr:uid="{00000000-0005-0000-0000-0000011D0000}"/>
    <cellStyle name="Normal 31 2 9 4" xfId="1783" xr:uid="{00000000-0005-0000-0000-0000021D0000}"/>
    <cellStyle name="Normal 31 2 9 4 2" xfId="5643" xr:uid="{00000000-0005-0000-0000-0000031D0000}"/>
    <cellStyle name="Normal 31 2 9 4 3" xfId="10577" xr:uid="{00000000-0005-0000-0000-0000041D0000}"/>
    <cellStyle name="Normal 31 2 9 5" xfId="3010" xr:uid="{00000000-0005-0000-0000-0000051D0000}"/>
    <cellStyle name="Normal 31 2 9 5 2" xfId="6867" xr:uid="{00000000-0005-0000-0000-0000061D0000}"/>
    <cellStyle name="Normal 31 2 9 5 3" xfId="12053" xr:uid="{00000000-0005-0000-0000-0000071D0000}"/>
    <cellStyle name="Normal 31 2 9 6" xfId="4419" xr:uid="{00000000-0005-0000-0000-0000081D0000}"/>
    <cellStyle name="Normal 31 2 9 6 2" xfId="9335" xr:uid="{00000000-0005-0000-0000-0000091D0000}"/>
    <cellStyle name="Normal 31 2 9 7" xfId="8092" xr:uid="{00000000-0005-0000-0000-00000A1D0000}"/>
    <cellStyle name="Normal 31 3" xfId="452" xr:uid="{00000000-0005-0000-0000-00000B1D0000}"/>
    <cellStyle name="Normal 31 3 10" xfId="1137" xr:uid="{00000000-0005-0000-0000-00000C1D0000}"/>
    <cellStyle name="Normal 31 3 10 2" xfId="2363" xr:uid="{00000000-0005-0000-0000-00000D1D0000}"/>
    <cellStyle name="Normal 31 3 10 2 2" xfId="6223" xr:uid="{00000000-0005-0000-0000-00000E1D0000}"/>
    <cellStyle name="Normal 31 3 10 2 3" xfId="11175" xr:uid="{00000000-0005-0000-0000-00000F1D0000}"/>
    <cellStyle name="Normal 31 3 10 3" xfId="3591" xr:uid="{00000000-0005-0000-0000-0000101D0000}"/>
    <cellStyle name="Normal 31 3 10 3 2" xfId="7447" xr:uid="{00000000-0005-0000-0000-0000111D0000}"/>
    <cellStyle name="Normal 31 3 10 3 3" xfId="9933" xr:uid="{00000000-0005-0000-0000-0000121D0000}"/>
    <cellStyle name="Normal 31 3 10 4" xfId="4999" xr:uid="{00000000-0005-0000-0000-0000131D0000}"/>
    <cellStyle name="Normal 31 3 10 5" xfId="8691" xr:uid="{00000000-0005-0000-0000-0000141D0000}"/>
    <cellStyle name="Normal 31 3 11" xfId="1751" xr:uid="{00000000-0005-0000-0000-0000151D0000}"/>
    <cellStyle name="Normal 31 3 11 2" xfId="5611" xr:uid="{00000000-0005-0000-0000-0000161D0000}"/>
    <cellStyle name="Normal 31 3 11 3" xfId="10545" xr:uid="{00000000-0005-0000-0000-0000171D0000}"/>
    <cellStyle name="Normal 31 3 12" xfId="2978" xr:uid="{00000000-0005-0000-0000-0000181D0000}"/>
    <cellStyle name="Normal 31 3 12 2" xfId="6835" xr:uid="{00000000-0005-0000-0000-0000191D0000}"/>
    <cellStyle name="Normal 31 3 12 3" xfId="11787" xr:uid="{00000000-0005-0000-0000-00001A1D0000}"/>
    <cellStyle name="Normal 31 3 13" xfId="4387" xr:uid="{00000000-0005-0000-0000-00001B1D0000}"/>
    <cellStyle name="Normal 31 3 13 2" xfId="9303" xr:uid="{00000000-0005-0000-0000-00001C1D0000}"/>
    <cellStyle name="Normal 31 3 14" xfId="8060" xr:uid="{00000000-0005-0000-0000-00001D1D0000}"/>
    <cellStyle name="Normal 31 3 2" xfId="453" xr:uid="{00000000-0005-0000-0000-00001E1D0000}"/>
    <cellStyle name="Normal 31 3 2 10" xfId="1752" xr:uid="{00000000-0005-0000-0000-00001F1D0000}"/>
    <cellStyle name="Normal 31 3 2 10 2" xfId="5612" xr:uid="{00000000-0005-0000-0000-0000201D0000}"/>
    <cellStyle name="Normal 31 3 2 10 3" xfId="10546" xr:uid="{00000000-0005-0000-0000-0000211D0000}"/>
    <cellStyle name="Normal 31 3 2 11" xfId="2979" xr:uid="{00000000-0005-0000-0000-0000221D0000}"/>
    <cellStyle name="Normal 31 3 2 11 2" xfId="6836" xr:uid="{00000000-0005-0000-0000-0000231D0000}"/>
    <cellStyle name="Normal 31 3 2 11 3" xfId="11788" xr:uid="{00000000-0005-0000-0000-0000241D0000}"/>
    <cellStyle name="Normal 31 3 2 12" xfId="4388" xr:uid="{00000000-0005-0000-0000-0000251D0000}"/>
    <cellStyle name="Normal 31 3 2 12 2" xfId="9304" xr:uid="{00000000-0005-0000-0000-0000261D0000}"/>
    <cellStyle name="Normal 31 3 2 13" xfId="8061" xr:uid="{00000000-0005-0000-0000-0000271D0000}"/>
    <cellStyle name="Normal 31 3 2 2" xfId="474" xr:uid="{00000000-0005-0000-0000-0000281D0000}"/>
    <cellStyle name="Normal 31 3 2 2 10" xfId="4406" xr:uid="{00000000-0005-0000-0000-0000291D0000}"/>
    <cellStyle name="Normal 31 3 2 2 10 2" xfId="9322" xr:uid="{00000000-0005-0000-0000-00002A1D0000}"/>
    <cellStyle name="Normal 31 3 2 2 11" xfId="8079" xr:uid="{00000000-0005-0000-0000-00002B1D0000}"/>
    <cellStyle name="Normal 31 3 2 2 2" xfId="587" xr:uid="{00000000-0005-0000-0000-00002C1D0000}"/>
    <cellStyle name="Normal 31 3 2 2 2 2" xfId="768" xr:uid="{00000000-0005-0000-0000-00002D1D0000}"/>
    <cellStyle name="Normal 31 3 2 2 2 2 2" xfId="1118" xr:uid="{00000000-0005-0000-0000-00002E1D0000}"/>
    <cellStyle name="Normal 31 3 2 2 2 2 2 2" xfId="1732" xr:uid="{00000000-0005-0000-0000-00002F1D0000}"/>
    <cellStyle name="Normal 31 3 2 2 2 2 2 2 2" xfId="2958" xr:uid="{00000000-0005-0000-0000-0000301D0000}"/>
    <cellStyle name="Normal 31 3 2 2 2 2 2 2 2 2" xfId="6818" xr:uid="{00000000-0005-0000-0000-0000311D0000}"/>
    <cellStyle name="Normal 31 3 2 2 2 2 2 2 2 3" xfId="11770" xr:uid="{00000000-0005-0000-0000-0000321D0000}"/>
    <cellStyle name="Normal 31 3 2 2 2 2 2 2 3" xfId="4186" xr:uid="{00000000-0005-0000-0000-0000331D0000}"/>
    <cellStyle name="Normal 31 3 2 2 2 2 2 2 3 2" xfId="8042" xr:uid="{00000000-0005-0000-0000-0000341D0000}"/>
    <cellStyle name="Normal 31 3 2 2 2 2 2 2 3 3" xfId="10528" xr:uid="{00000000-0005-0000-0000-0000351D0000}"/>
    <cellStyle name="Normal 31 3 2 2 2 2 2 2 4" xfId="5594" xr:uid="{00000000-0005-0000-0000-0000361D0000}"/>
    <cellStyle name="Normal 31 3 2 2 2 2 2 2 5" xfId="9286" xr:uid="{00000000-0005-0000-0000-0000371D0000}"/>
    <cellStyle name="Normal 31 3 2 2 2 2 2 3" xfId="2346" xr:uid="{00000000-0005-0000-0000-0000381D0000}"/>
    <cellStyle name="Normal 31 3 2 2 2 2 2 3 2" xfId="6206" xr:uid="{00000000-0005-0000-0000-0000391D0000}"/>
    <cellStyle name="Normal 31 3 2 2 2 2 2 3 3" xfId="11122" xr:uid="{00000000-0005-0000-0000-00003A1D0000}"/>
    <cellStyle name="Normal 31 3 2 2 2 2 2 4" xfId="3574" xr:uid="{00000000-0005-0000-0000-00003B1D0000}"/>
    <cellStyle name="Normal 31 3 2 2 2 2 2 4 2" xfId="7430" xr:uid="{00000000-0005-0000-0000-00003C1D0000}"/>
    <cellStyle name="Normal 31 3 2 2 2 2 2 4 3" xfId="9880" xr:uid="{00000000-0005-0000-0000-00003D1D0000}"/>
    <cellStyle name="Normal 31 3 2 2 2 2 2 5" xfId="4982" xr:uid="{00000000-0005-0000-0000-00003E1D0000}"/>
    <cellStyle name="Normal 31 3 2 2 2 2 2 6" xfId="8637" xr:uid="{00000000-0005-0000-0000-00003F1D0000}"/>
    <cellStyle name="Normal 31 3 2 2 2 2 3" xfId="1426" xr:uid="{00000000-0005-0000-0000-0000401D0000}"/>
    <cellStyle name="Normal 31 3 2 2 2 2 3 2" xfId="2652" xr:uid="{00000000-0005-0000-0000-0000411D0000}"/>
    <cellStyle name="Normal 31 3 2 2 2 2 3 2 2" xfId="6512" xr:uid="{00000000-0005-0000-0000-0000421D0000}"/>
    <cellStyle name="Normal 31 3 2 2 2 2 3 2 3" xfId="11464" xr:uid="{00000000-0005-0000-0000-0000431D0000}"/>
    <cellStyle name="Normal 31 3 2 2 2 2 3 3" xfId="3880" xr:uid="{00000000-0005-0000-0000-0000441D0000}"/>
    <cellStyle name="Normal 31 3 2 2 2 2 3 3 2" xfId="7736" xr:uid="{00000000-0005-0000-0000-0000451D0000}"/>
    <cellStyle name="Normal 31 3 2 2 2 2 3 3 3" xfId="10222" xr:uid="{00000000-0005-0000-0000-0000461D0000}"/>
    <cellStyle name="Normal 31 3 2 2 2 2 3 4" xfId="5288" xr:uid="{00000000-0005-0000-0000-0000471D0000}"/>
    <cellStyle name="Normal 31 3 2 2 2 2 3 5" xfId="8980" xr:uid="{00000000-0005-0000-0000-0000481D0000}"/>
    <cellStyle name="Normal 31 3 2 2 2 2 4" xfId="2040" xr:uid="{00000000-0005-0000-0000-0000491D0000}"/>
    <cellStyle name="Normal 31 3 2 2 2 2 4 2" xfId="5900" xr:uid="{00000000-0005-0000-0000-00004A1D0000}"/>
    <cellStyle name="Normal 31 3 2 2 2 2 4 3" xfId="10834" xr:uid="{00000000-0005-0000-0000-00004B1D0000}"/>
    <cellStyle name="Normal 31 3 2 2 2 2 5" xfId="3267" xr:uid="{00000000-0005-0000-0000-00004C1D0000}"/>
    <cellStyle name="Normal 31 3 2 2 2 2 5 2" xfId="7124" xr:uid="{00000000-0005-0000-0000-00004D1D0000}"/>
    <cellStyle name="Normal 31 3 2 2 2 2 5 3" xfId="12040" xr:uid="{00000000-0005-0000-0000-00004E1D0000}"/>
    <cellStyle name="Normal 31 3 2 2 2 2 6" xfId="4676" xr:uid="{00000000-0005-0000-0000-00004F1D0000}"/>
    <cellStyle name="Normal 31 3 2 2 2 2 6 2" xfId="9592" xr:uid="{00000000-0005-0000-0000-0000501D0000}"/>
    <cellStyle name="Normal 31 3 2 2 2 2 7" xfId="8349" xr:uid="{00000000-0005-0000-0000-0000511D0000}"/>
    <cellStyle name="Normal 31 3 2 2 2 3" xfId="678" xr:uid="{00000000-0005-0000-0000-0000521D0000}"/>
    <cellStyle name="Normal 31 3 2 2 2 3 2" xfId="1028" xr:uid="{00000000-0005-0000-0000-0000531D0000}"/>
    <cellStyle name="Normal 31 3 2 2 2 3 2 2" xfId="1642" xr:uid="{00000000-0005-0000-0000-0000541D0000}"/>
    <cellStyle name="Normal 31 3 2 2 2 3 2 2 2" xfId="2868" xr:uid="{00000000-0005-0000-0000-0000551D0000}"/>
    <cellStyle name="Normal 31 3 2 2 2 3 2 2 2 2" xfId="6728" xr:uid="{00000000-0005-0000-0000-0000561D0000}"/>
    <cellStyle name="Normal 31 3 2 2 2 3 2 2 2 3" xfId="11680" xr:uid="{00000000-0005-0000-0000-0000571D0000}"/>
    <cellStyle name="Normal 31 3 2 2 2 3 2 2 3" xfId="4096" xr:uid="{00000000-0005-0000-0000-0000581D0000}"/>
    <cellStyle name="Normal 31 3 2 2 2 3 2 2 3 2" xfId="7952" xr:uid="{00000000-0005-0000-0000-0000591D0000}"/>
    <cellStyle name="Normal 31 3 2 2 2 3 2 2 3 3" xfId="10438" xr:uid="{00000000-0005-0000-0000-00005A1D0000}"/>
    <cellStyle name="Normal 31 3 2 2 2 3 2 2 4" xfId="5504" xr:uid="{00000000-0005-0000-0000-00005B1D0000}"/>
    <cellStyle name="Normal 31 3 2 2 2 3 2 2 5" xfId="9196" xr:uid="{00000000-0005-0000-0000-00005C1D0000}"/>
    <cellStyle name="Normal 31 3 2 2 2 3 2 3" xfId="2256" xr:uid="{00000000-0005-0000-0000-00005D1D0000}"/>
    <cellStyle name="Normal 31 3 2 2 2 3 2 3 2" xfId="6116" xr:uid="{00000000-0005-0000-0000-00005E1D0000}"/>
    <cellStyle name="Normal 31 3 2 2 2 3 2 3 3" xfId="11032" xr:uid="{00000000-0005-0000-0000-00005F1D0000}"/>
    <cellStyle name="Normal 31 3 2 2 2 3 2 4" xfId="3484" xr:uid="{00000000-0005-0000-0000-0000601D0000}"/>
    <cellStyle name="Normal 31 3 2 2 2 3 2 4 2" xfId="7340" xr:uid="{00000000-0005-0000-0000-0000611D0000}"/>
    <cellStyle name="Normal 31 3 2 2 2 3 2 4 3" xfId="9790" xr:uid="{00000000-0005-0000-0000-0000621D0000}"/>
    <cellStyle name="Normal 31 3 2 2 2 3 2 5" xfId="4892" xr:uid="{00000000-0005-0000-0000-0000631D0000}"/>
    <cellStyle name="Normal 31 3 2 2 2 3 2 6" xfId="8547" xr:uid="{00000000-0005-0000-0000-0000641D0000}"/>
    <cellStyle name="Normal 31 3 2 2 2 3 3" xfId="1336" xr:uid="{00000000-0005-0000-0000-0000651D0000}"/>
    <cellStyle name="Normal 31 3 2 2 2 3 3 2" xfId="2562" xr:uid="{00000000-0005-0000-0000-0000661D0000}"/>
    <cellStyle name="Normal 31 3 2 2 2 3 3 2 2" xfId="6422" xr:uid="{00000000-0005-0000-0000-0000671D0000}"/>
    <cellStyle name="Normal 31 3 2 2 2 3 3 2 3" xfId="11374" xr:uid="{00000000-0005-0000-0000-0000681D0000}"/>
    <cellStyle name="Normal 31 3 2 2 2 3 3 3" xfId="3790" xr:uid="{00000000-0005-0000-0000-0000691D0000}"/>
    <cellStyle name="Normal 31 3 2 2 2 3 3 3 2" xfId="7646" xr:uid="{00000000-0005-0000-0000-00006A1D0000}"/>
    <cellStyle name="Normal 31 3 2 2 2 3 3 3 3" xfId="10132" xr:uid="{00000000-0005-0000-0000-00006B1D0000}"/>
    <cellStyle name="Normal 31 3 2 2 2 3 3 4" xfId="5198" xr:uid="{00000000-0005-0000-0000-00006C1D0000}"/>
    <cellStyle name="Normal 31 3 2 2 2 3 3 5" xfId="8890" xr:uid="{00000000-0005-0000-0000-00006D1D0000}"/>
    <cellStyle name="Normal 31 3 2 2 2 3 4" xfId="1950" xr:uid="{00000000-0005-0000-0000-00006E1D0000}"/>
    <cellStyle name="Normal 31 3 2 2 2 3 4 2" xfId="5810" xr:uid="{00000000-0005-0000-0000-00006F1D0000}"/>
    <cellStyle name="Normal 31 3 2 2 2 3 4 3" xfId="10744" xr:uid="{00000000-0005-0000-0000-0000701D0000}"/>
    <cellStyle name="Normal 31 3 2 2 2 3 5" xfId="3177" xr:uid="{00000000-0005-0000-0000-0000711D0000}"/>
    <cellStyle name="Normal 31 3 2 2 2 3 5 2" xfId="7034" xr:uid="{00000000-0005-0000-0000-0000721D0000}"/>
    <cellStyle name="Normal 31 3 2 2 2 3 5 3" xfId="11950" xr:uid="{00000000-0005-0000-0000-0000731D0000}"/>
    <cellStyle name="Normal 31 3 2 2 2 3 6" xfId="4586" xr:uid="{00000000-0005-0000-0000-0000741D0000}"/>
    <cellStyle name="Normal 31 3 2 2 2 3 6 2" xfId="9502" xr:uid="{00000000-0005-0000-0000-0000751D0000}"/>
    <cellStyle name="Normal 31 3 2 2 2 3 7" xfId="8259" xr:uid="{00000000-0005-0000-0000-0000761D0000}"/>
    <cellStyle name="Normal 31 3 2 2 2 4" xfId="937" xr:uid="{00000000-0005-0000-0000-0000771D0000}"/>
    <cellStyle name="Normal 31 3 2 2 2 4 2" xfId="1552" xr:uid="{00000000-0005-0000-0000-0000781D0000}"/>
    <cellStyle name="Normal 31 3 2 2 2 4 2 2" xfId="2778" xr:uid="{00000000-0005-0000-0000-0000791D0000}"/>
    <cellStyle name="Normal 31 3 2 2 2 4 2 2 2" xfId="6638" xr:uid="{00000000-0005-0000-0000-00007A1D0000}"/>
    <cellStyle name="Normal 31 3 2 2 2 4 2 2 3" xfId="11590" xr:uid="{00000000-0005-0000-0000-00007B1D0000}"/>
    <cellStyle name="Normal 31 3 2 2 2 4 2 3" xfId="4006" xr:uid="{00000000-0005-0000-0000-00007C1D0000}"/>
    <cellStyle name="Normal 31 3 2 2 2 4 2 3 2" xfId="7862" xr:uid="{00000000-0005-0000-0000-00007D1D0000}"/>
    <cellStyle name="Normal 31 3 2 2 2 4 2 3 3" xfId="10348" xr:uid="{00000000-0005-0000-0000-00007E1D0000}"/>
    <cellStyle name="Normal 31 3 2 2 2 4 2 4" xfId="5414" xr:uid="{00000000-0005-0000-0000-00007F1D0000}"/>
    <cellStyle name="Normal 31 3 2 2 2 4 2 5" xfId="9106" xr:uid="{00000000-0005-0000-0000-0000801D0000}"/>
    <cellStyle name="Normal 31 3 2 2 2 4 3" xfId="2166" xr:uid="{00000000-0005-0000-0000-0000811D0000}"/>
    <cellStyle name="Normal 31 3 2 2 2 4 3 2" xfId="6026" xr:uid="{00000000-0005-0000-0000-0000821D0000}"/>
    <cellStyle name="Normal 31 3 2 2 2 4 3 3" xfId="10942" xr:uid="{00000000-0005-0000-0000-0000831D0000}"/>
    <cellStyle name="Normal 31 3 2 2 2 4 4" xfId="3394" xr:uid="{00000000-0005-0000-0000-0000841D0000}"/>
    <cellStyle name="Normal 31 3 2 2 2 4 4 2" xfId="7250" xr:uid="{00000000-0005-0000-0000-0000851D0000}"/>
    <cellStyle name="Normal 31 3 2 2 2 4 4 3" xfId="9700" xr:uid="{00000000-0005-0000-0000-0000861D0000}"/>
    <cellStyle name="Normal 31 3 2 2 2 4 5" xfId="4802" xr:uid="{00000000-0005-0000-0000-0000871D0000}"/>
    <cellStyle name="Normal 31 3 2 2 2 4 6" xfId="8457" xr:uid="{00000000-0005-0000-0000-0000881D0000}"/>
    <cellStyle name="Normal 31 3 2 2 2 5" xfId="1246" xr:uid="{00000000-0005-0000-0000-0000891D0000}"/>
    <cellStyle name="Normal 31 3 2 2 2 5 2" xfId="2472" xr:uid="{00000000-0005-0000-0000-00008A1D0000}"/>
    <cellStyle name="Normal 31 3 2 2 2 5 2 2" xfId="6332" xr:uid="{00000000-0005-0000-0000-00008B1D0000}"/>
    <cellStyle name="Normal 31 3 2 2 2 5 2 3" xfId="11284" xr:uid="{00000000-0005-0000-0000-00008C1D0000}"/>
    <cellStyle name="Normal 31 3 2 2 2 5 3" xfId="3700" xr:uid="{00000000-0005-0000-0000-00008D1D0000}"/>
    <cellStyle name="Normal 31 3 2 2 2 5 3 2" xfId="7556" xr:uid="{00000000-0005-0000-0000-00008E1D0000}"/>
    <cellStyle name="Normal 31 3 2 2 2 5 3 3" xfId="10042" xr:uid="{00000000-0005-0000-0000-00008F1D0000}"/>
    <cellStyle name="Normal 31 3 2 2 2 5 4" xfId="5108" xr:uid="{00000000-0005-0000-0000-0000901D0000}"/>
    <cellStyle name="Normal 31 3 2 2 2 5 5" xfId="8800" xr:uid="{00000000-0005-0000-0000-0000911D0000}"/>
    <cellStyle name="Normal 31 3 2 2 2 6" xfId="1860" xr:uid="{00000000-0005-0000-0000-0000921D0000}"/>
    <cellStyle name="Normal 31 3 2 2 2 6 2" xfId="5720" xr:uid="{00000000-0005-0000-0000-0000931D0000}"/>
    <cellStyle name="Normal 31 3 2 2 2 6 3" xfId="10654" xr:uid="{00000000-0005-0000-0000-0000941D0000}"/>
    <cellStyle name="Normal 31 3 2 2 2 7" xfId="3087" xr:uid="{00000000-0005-0000-0000-0000951D0000}"/>
    <cellStyle name="Normal 31 3 2 2 2 7 2" xfId="6944" xr:uid="{00000000-0005-0000-0000-0000961D0000}"/>
    <cellStyle name="Normal 31 3 2 2 2 7 3" xfId="11860" xr:uid="{00000000-0005-0000-0000-0000971D0000}"/>
    <cellStyle name="Normal 31 3 2 2 2 8" xfId="4496" xr:uid="{00000000-0005-0000-0000-0000981D0000}"/>
    <cellStyle name="Normal 31 3 2 2 2 8 2" xfId="9412" xr:uid="{00000000-0005-0000-0000-0000991D0000}"/>
    <cellStyle name="Normal 31 3 2 2 2 9" xfId="8169" xr:uid="{00000000-0005-0000-0000-00009A1D0000}"/>
    <cellStyle name="Normal 31 3 2 2 3" xfId="732" xr:uid="{00000000-0005-0000-0000-00009B1D0000}"/>
    <cellStyle name="Normal 31 3 2 2 3 2" xfId="1082" xr:uid="{00000000-0005-0000-0000-00009C1D0000}"/>
    <cellStyle name="Normal 31 3 2 2 3 2 2" xfId="1696" xr:uid="{00000000-0005-0000-0000-00009D1D0000}"/>
    <cellStyle name="Normal 31 3 2 2 3 2 2 2" xfId="2922" xr:uid="{00000000-0005-0000-0000-00009E1D0000}"/>
    <cellStyle name="Normal 31 3 2 2 3 2 2 2 2" xfId="6782" xr:uid="{00000000-0005-0000-0000-00009F1D0000}"/>
    <cellStyle name="Normal 31 3 2 2 3 2 2 2 3" xfId="11734" xr:uid="{00000000-0005-0000-0000-0000A01D0000}"/>
    <cellStyle name="Normal 31 3 2 2 3 2 2 3" xfId="4150" xr:uid="{00000000-0005-0000-0000-0000A11D0000}"/>
    <cellStyle name="Normal 31 3 2 2 3 2 2 3 2" xfId="8006" xr:uid="{00000000-0005-0000-0000-0000A21D0000}"/>
    <cellStyle name="Normal 31 3 2 2 3 2 2 3 3" xfId="10492" xr:uid="{00000000-0005-0000-0000-0000A31D0000}"/>
    <cellStyle name="Normal 31 3 2 2 3 2 2 4" xfId="5558" xr:uid="{00000000-0005-0000-0000-0000A41D0000}"/>
    <cellStyle name="Normal 31 3 2 2 3 2 2 5" xfId="9250" xr:uid="{00000000-0005-0000-0000-0000A51D0000}"/>
    <cellStyle name="Normal 31 3 2 2 3 2 3" xfId="2310" xr:uid="{00000000-0005-0000-0000-0000A61D0000}"/>
    <cellStyle name="Normal 31 3 2 2 3 2 3 2" xfId="6170" xr:uid="{00000000-0005-0000-0000-0000A71D0000}"/>
    <cellStyle name="Normal 31 3 2 2 3 2 3 3" xfId="11086" xr:uid="{00000000-0005-0000-0000-0000A81D0000}"/>
    <cellStyle name="Normal 31 3 2 2 3 2 4" xfId="3538" xr:uid="{00000000-0005-0000-0000-0000A91D0000}"/>
    <cellStyle name="Normal 31 3 2 2 3 2 4 2" xfId="7394" xr:uid="{00000000-0005-0000-0000-0000AA1D0000}"/>
    <cellStyle name="Normal 31 3 2 2 3 2 4 3" xfId="9844" xr:uid="{00000000-0005-0000-0000-0000AB1D0000}"/>
    <cellStyle name="Normal 31 3 2 2 3 2 5" xfId="4946" xr:uid="{00000000-0005-0000-0000-0000AC1D0000}"/>
    <cellStyle name="Normal 31 3 2 2 3 2 6" xfId="8601" xr:uid="{00000000-0005-0000-0000-0000AD1D0000}"/>
    <cellStyle name="Normal 31 3 2 2 3 3" xfId="1390" xr:uid="{00000000-0005-0000-0000-0000AE1D0000}"/>
    <cellStyle name="Normal 31 3 2 2 3 3 2" xfId="2616" xr:uid="{00000000-0005-0000-0000-0000AF1D0000}"/>
    <cellStyle name="Normal 31 3 2 2 3 3 2 2" xfId="6476" xr:uid="{00000000-0005-0000-0000-0000B01D0000}"/>
    <cellStyle name="Normal 31 3 2 2 3 3 2 3" xfId="11428" xr:uid="{00000000-0005-0000-0000-0000B11D0000}"/>
    <cellStyle name="Normal 31 3 2 2 3 3 3" xfId="3844" xr:uid="{00000000-0005-0000-0000-0000B21D0000}"/>
    <cellStyle name="Normal 31 3 2 2 3 3 3 2" xfId="7700" xr:uid="{00000000-0005-0000-0000-0000B31D0000}"/>
    <cellStyle name="Normal 31 3 2 2 3 3 3 3" xfId="10186" xr:uid="{00000000-0005-0000-0000-0000B41D0000}"/>
    <cellStyle name="Normal 31 3 2 2 3 3 4" xfId="5252" xr:uid="{00000000-0005-0000-0000-0000B51D0000}"/>
    <cellStyle name="Normal 31 3 2 2 3 3 5" xfId="8944" xr:uid="{00000000-0005-0000-0000-0000B61D0000}"/>
    <cellStyle name="Normal 31 3 2 2 3 4" xfId="2004" xr:uid="{00000000-0005-0000-0000-0000B71D0000}"/>
    <cellStyle name="Normal 31 3 2 2 3 4 2" xfId="5864" xr:uid="{00000000-0005-0000-0000-0000B81D0000}"/>
    <cellStyle name="Normal 31 3 2 2 3 4 3" xfId="10798" xr:uid="{00000000-0005-0000-0000-0000B91D0000}"/>
    <cellStyle name="Normal 31 3 2 2 3 5" xfId="3231" xr:uid="{00000000-0005-0000-0000-0000BA1D0000}"/>
    <cellStyle name="Normal 31 3 2 2 3 5 2" xfId="7088" xr:uid="{00000000-0005-0000-0000-0000BB1D0000}"/>
    <cellStyle name="Normal 31 3 2 2 3 5 3" xfId="12004" xr:uid="{00000000-0005-0000-0000-0000BC1D0000}"/>
    <cellStyle name="Normal 31 3 2 2 3 6" xfId="4640" xr:uid="{00000000-0005-0000-0000-0000BD1D0000}"/>
    <cellStyle name="Normal 31 3 2 2 3 6 2" xfId="9556" xr:uid="{00000000-0005-0000-0000-0000BE1D0000}"/>
    <cellStyle name="Normal 31 3 2 2 3 7" xfId="8313" xr:uid="{00000000-0005-0000-0000-0000BF1D0000}"/>
    <cellStyle name="Normal 31 3 2 2 4" xfId="642" xr:uid="{00000000-0005-0000-0000-0000C01D0000}"/>
    <cellStyle name="Normal 31 3 2 2 4 2" xfId="992" xr:uid="{00000000-0005-0000-0000-0000C11D0000}"/>
    <cellStyle name="Normal 31 3 2 2 4 2 2" xfId="1606" xr:uid="{00000000-0005-0000-0000-0000C21D0000}"/>
    <cellStyle name="Normal 31 3 2 2 4 2 2 2" xfId="2832" xr:uid="{00000000-0005-0000-0000-0000C31D0000}"/>
    <cellStyle name="Normal 31 3 2 2 4 2 2 2 2" xfId="6692" xr:uid="{00000000-0005-0000-0000-0000C41D0000}"/>
    <cellStyle name="Normal 31 3 2 2 4 2 2 2 3" xfId="11644" xr:uid="{00000000-0005-0000-0000-0000C51D0000}"/>
    <cellStyle name="Normal 31 3 2 2 4 2 2 3" xfId="4060" xr:uid="{00000000-0005-0000-0000-0000C61D0000}"/>
    <cellStyle name="Normal 31 3 2 2 4 2 2 3 2" xfId="7916" xr:uid="{00000000-0005-0000-0000-0000C71D0000}"/>
    <cellStyle name="Normal 31 3 2 2 4 2 2 3 3" xfId="10402" xr:uid="{00000000-0005-0000-0000-0000C81D0000}"/>
    <cellStyle name="Normal 31 3 2 2 4 2 2 4" xfId="5468" xr:uid="{00000000-0005-0000-0000-0000C91D0000}"/>
    <cellStyle name="Normal 31 3 2 2 4 2 2 5" xfId="9160" xr:uid="{00000000-0005-0000-0000-0000CA1D0000}"/>
    <cellStyle name="Normal 31 3 2 2 4 2 3" xfId="2220" xr:uid="{00000000-0005-0000-0000-0000CB1D0000}"/>
    <cellStyle name="Normal 31 3 2 2 4 2 3 2" xfId="6080" xr:uid="{00000000-0005-0000-0000-0000CC1D0000}"/>
    <cellStyle name="Normal 31 3 2 2 4 2 3 3" xfId="10996" xr:uid="{00000000-0005-0000-0000-0000CD1D0000}"/>
    <cellStyle name="Normal 31 3 2 2 4 2 4" xfId="3448" xr:uid="{00000000-0005-0000-0000-0000CE1D0000}"/>
    <cellStyle name="Normal 31 3 2 2 4 2 4 2" xfId="7304" xr:uid="{00000000-0005-0000-0000-0000CF1D0000}"/>
    <cellStyle name="Normal 31 3 2 2 4 2 4 3" xfId="9754" xr:uid="{00000000-0005-0000-0000-0000D01D0000}"/>
    <cellStyle name="Normal 31 3 2 2 4 2 5" xfId="4856" xr:uid="{00000000-0005-0000-0000-0000D11D0000}"/>
    <cellStyle name="Normal 31 3 2 2 4 2 6" xfId="8511" xr:uid="{00000000-0005-0000-0000-0000D21D0000}"/>
    <cellStyle name="Normal 31 3 2 2 4 3" xfId="1300" xr:uid="{00000000-0005-0000-0000-0000D31D0000}"/>
    <cellStyle name="Normal 31 3 2 2 4 3 2" xfId="2526" xr:uid="{00000000-0005-0000-0000-0000D41D0000}"/>
    <cellStyle name="Normal 31 3 2 2 4 3 2 2" xfId="6386" xr:uid="{00000000-0005-0000-0000-0000D51D0000}"/>
    <cellStyle name="Normal 31 3 2 2 4 3 2 3" xfId="11338" xr:uid="{00000000-0005-0000-0000-0000D61D0000}"/>
    <cellStyle name="Normal 31 3 2 2 4 3 3" xfId="3754" xr:uid="{00000000-0005-0000-0000-0000D71D0000}"/>
    <cellStyle name="Normal 31 3 2 2 4 3 3 2" xfId="7610" xr:uid="{00000000-0005-0000-0000-0000D81D0000}"/>
    <cellStyle name="Normal 31 3 2 2 4 3 3 3" xfId="10096" xr:uid="{00000000-0005-0000-0000-0000D91D0000}"/>
    <cellStyle name="Normal 31 3 2 2 4 3 4" xfId="5162" xr:uid="{00000000-0005-0000-0000-0000DA1D0000}"/>
    <cellStyle name="Normal 31 3 2 2 4 3 5" xfId="8854" xr:uid="{00000000-0005-0000-0000-0000DB1D0000}"/>
    <cellStyle name="Normal 31 3 2 2 4 4" xfId="1914" xr:uid="{00000000-0005-0000-0000-0000DC1D0000}"/>
    <cellStyle name="Normal 31 3 2 2 4 4 2" xfId="5774" xr:uid="{00000000-0005-0000-0000-0000DD1D0000}"/>
    <cellStyle name="Normal 31 3 2 2 4 4 3" xfId="10708" xr:uid="{00000000-0005-0000-0000-0000DE1D0000}"/>
    <cellStyle name="Normal 31 3 2 2 4 5" xfId="3141" xr:uid="{00000000-0005-0000-0000-0000DF1D0000}"/>
    <cellStyle name="Normal 31 3 2 2 4 5 2" xfId="6998" xr:uid="{00000000-0005-0000-0000-0000E01D0000}"/>
    <cellStyle name="Normal 31 3 2 2 4 5 3" xfId="11914" xr:uid="{00000000-0005-0000-0000-0000E11D0000}"/>
    <cellStyle name="Normal 31 3 2 2 4 6" xfId="4550" xr:uid="{00000000-0005-0000-0000-0000E21D0000}"/>
    <cellStyle name="Normal 31 3 2 2 4 6 2" xfId="9466" xr:uid="{00000000-0005-0000-0000-0000E31D0000}"/>
    <cellStyle name="Normal 31 3 2 2 4 7" xfId="8223" xr:uid="{00000000-0005-0000-0000-0000E41D0000}"/>
    <cellStyle name="Normal 31 3 2 2 5" xfId="548" xr:uid="{00000000-0005-0000-0000-0000E51D0000}"/>
    <cellStyle name="Normal 31 3 2 2 5 2" xfId="898" xr:uid="{00000000-0005-0000-0000-0000E61D0000}"/>
    <cellStyle name="Normal 31 3 2 2 5 2 2" xfId="1516" xr:uid="{00000000-0005-0000-0000-0000E71D0000}"/>
    <cellStyle name="Normal 31 3 2 2 5 2 2 2" xfId="2742" xr:uid="{00000000-0005-0000-0000-0000E81D0000}"/>
    <cellStyle name="Normal 31 3 2 2 5 2 2 2 2" xfId="6602" xr:uid="{00000000-0005-0000-0000-0000E91D0000}"/>
    <cellStyle name="Normal 31 3 2 2 5 2 2 2 3" xfId="11554" xr:uid="{00000000-0005-0000-0000-0000EA1D0000}"/>
    <cellStyle name="Normal 31 3 2 2 5 2 2 3" xfId="3970" xr:uid="{00000000-0005-0000-0000-0000EB1D0000}"/>
    <cellStyle name="Normal 31 3 2 2 5 2 2 3 2" xfId="7826" xr:uid="{00000000-0005-0000-0000-0000EC1D0000}"/>
    <cellStyle name="Normal 31 3 2 2 5 2 2 3 3" xfId="10312" xr:uid="{00000000-0005-0000-0000-0000ED1D0000}"/>
    <cellStyle name="Normal 31 3 2 2 5 2 2 4" xfId="5378" xr:uid="{00000000-0005-0000-0000-0000EE1D0000}"/>
    <cellStyle name="Normal 31 3 2 2 5 2 2 5" xfId="9070" xr:uid="{00000000-0005-0000-0000-0000EF1D0000}"/>
    <cellStyle name="Normal 31 3 2 2 5 2 3" xfId="2130" xr:uid="{00000000-0005-0000-0000-0000F01D0000}"/>
    <cellStyle name="Normal 31 3 2 2 5 2 3 2" xfId="5990" xr:uid="{00000000-0005-0000-0000-0000F11D0000}"/>
    <cellStyle name="Normal 31 3 2 2 5 2 3 3" xfId="11158" xr:uid="{00000000-0005-0000-0000-0000F21D0000}"/>
    <cellStyle name="Normal 31 3 2 2 5 2 4" xfId="3358" xr:uid="{00000000-0005-0000-0000-0000F31D0000}"/>
    <cellStyle name="Normal 31 3 2 2 5 2 4 2" xfId="7214" xr:uid="{00000000-0005-0000-0000-0000F41D0000}"/>
    <cellStyle name="Normal 31 3 2 2 5 2 4 3" xfId="9916" xr:uid="{00000000-0005-0000-0000-0000F51D0000}"/>
    <cellStyle name="Normal 31 3 2 2 5 2 5" xfId="4766" xr:uid="{00000000-0005-0000-0000-0000F61D0000}"/>
    <cellStyle name="Normal 31 3 2 2 5 2 6" xfId="8674" xr:uid="{00000000-0005-0000-0000-0000F71D0000}"/>
    <cellStyle name="Normal 31 3 2 2 5 3" xfId="1210" xr:uid="{00000000-0005-0000-0000-0000F81D0000}"/>
    <cellStyle name="Normal 31 3 2 2 5 3 2" xfId="2436" xr:uid="{00000000-0005-0000-0000-0000F91D0000}"/>
    <cellStyle name="Normal 31 3 2 2 5 3 2 2" xfId="6296" xr:uid="{00000000-0005-0000-0000-0000FA1D0000}"/>
    <cellStyle name="Normal 31 3 2 2 5 3 2 3" xfId="11248" xr:uid="{00000000-0005-0000-0000-0000FB1D0000}"/>
    <cellStyle name="Normal 31 3 2 2 5 3 3" xfId="3664" xr:uid="{00000000-0005-0000-0000-0000FC1D0000}"/>
    <cellStyle name="Normal 31 3 2 2 5 3 3 2" xfId="7520" xr:uid="{00000000-0005-0000-0000-0000FD1D0000}"/>
    <cellStyle name="Normal 31 3 2 2 5 3 3 3" xfId="10006" xr:uid="{00000000-0005-0000-0000-0000FE1D0000}"/>
    <cellStyle name="Normal 31 3 2 2 5 3 4" xfId="5072" xr:uid="{00000000-0005-0000-0000-0000FF1D0000}"/>
    <cellStyle name="Normal 31 3 2 2 5 3 5" xfId="8764" xr:uid="{00000000-0005-0000-0000-0000001E0000}"/>
    <cellStyle name="Normal 31 3 2 2 5 4" xfId="1824" xr:uid="{00000000-0005-0000-0000-0000011E0000}"/>
    <cellStyle name="Normal 31 3 2 2 5 4 2" xfId="5684" xr:uid="{00000000-0005-0000-0000-0000021E0000}"/>
    <cellStyle name="Normal 31 3 2 2 5 4 2 2" xfId="11140" xr:uid="{00000000-0005-0000-0000-0000031E0000}"/>
    <cellStyle name="Normal 31 3 2 2 5 4 3" xfId="9898" xr:uid="{00000000-0005-0000-0000-0000041E0000}"/>
    <cellStyle name="Normal 31 3 2 2 5 4 4" xfId="8655" xr:uid="{00000000-0005-0000-0000-0000051E0000}"/>
    <cellStyle name="Normal 31 3 2 2 5 5" xfId="3051" xr:uid="{00000000-0005-0000-0000-0000061E0000}"/>
    <cellStyle name="Normal 31 3 2 2 5 5 2" xfId="6908" xr:uid="{00000000-0005-0000-0000-0000071E0000}"/>
    <cellStyle name="Normal 31 3 2 2 5 5 3" xfId="10618" xr:uid="{00000000-0005-0000-0000-0000081E0000}"/>
    <cellStyle name="Normal 31 3 2 2 5 6" xfId="4460" xr:uid="{00000000-0005-0000-0000-0000091E0000}"/>
    <cellStyle name="Normal 31 3 2 2 5 6 2" xfId="9376" xr:uid="{00000000-0005-0000-0000-00000A1E0000}"/>
    <cellStyle name="Normal 31 3 2 2 5 7" xfId="8133" xr:uid="{00000000-0005-0000-0000-00000B1E0000}"/>
    <cellStyle name="Normal 31 3 2 2 6" xfId="824" xr:uid="{00000000-0005-0000-0000-00000C1E0000}"/>
    <cellStyle name="Normal 31 3 2 2 6 2" xfId="1462" xr:uid="{00000000-0005-0000-0000-00000D1E0000}"/>
    <cellStyle name="Normal 31 3 2 2 6 2 2" xfId="2688" xr:uid="{00000000-0005-0000-0000-00000E1E0000}"/>
    <cellStyle name="Normal 31 3 2 2 6 2 2 2" xfId="6548" xr:uid="{00000000-0005-0000-0000-00000F1E0000}"/>
    <cellStyle name="Normal 31 3 2 2 6 2 2 3" xfId="11500" xr:uid="{00000000-0005-0000-0000-0000101E0000}"/>
    <cellStyle name="Normal 31 3 2 2 6 2 3" xfId="3916" xr:uid="{00000000-0005-0000-0000-0000111E0000}"/>
    <cellStyle name="Normal 31 3 2 2 6 2 3 2" xfId="7772" xr:uid="{00000000-0005-0000-0000-0000121E0000}"/>
    <cellStyle name="Normal 31 3 2 2 6 2 3 3" xfId="10258" xr:uid="{00000000-0005-0000-0000-0000131E0000}"/>
    <cellStyle name="Normal 31 3 2 2 6 2 4" xfId="5324" xr:uid="{00000000-0005-0000-0000-0000141E0000}"/>
    <cellStyle name="Normal 31 3 2 2 6 2 5" xfId="9016" xr:uid="{00000000-0005-0000-0000-0000151E0000}"/>
    <cellStyle name="Normal 31 3 2 2 6 3" xfId="2076" xr:uid="{00000000-0005-0000-0000-0000161E0000}"/>
    <cellStyle name="Normal 31 3 2 2 6 3 2" xfId="5936" xr:uid="{00000000-0005-0000-0000-0000171E0000}"/>
    <cellStyle name="Normal 31 3 2 2 6 3 3" xfId="10906" xr:uid="{00000000-0005-0000-0000-0000181E0000}"/>
    <cellStyle name="Normal 31 3 2 2 6 4" xfId="3304" xr:uid="{00000000-0005-0000-0000-0000191E0000}"/>
    <cellStyle name="Normal 31 3 2 2 6 4 2" xfId="7160" xr:uid="{00000000-0005-0000-0000-00001A1E0000}"/>
    <cellStyle name="Normal 31 3 2 2 6 4 3" xfId="9664" xr:uid="{00000000-0005-0000-0000-00001B1E0000}"/>
    <cellStyle name="Normal 31 3 2 2 6 5" xfId="4712" xr:uid="{00000000-0005-0000-0000-00001C1E0000}"/>
    <cellStyle name="Normal 31 3 2 2 6 6" xfId="8421" xr:uid="{00000000-0005-0000-0000-00001D1E0000}"/>
    <cellStyle name="Normal 31 3 2 2 7" xfId="1156" xr:uid="{00000000-0005-0000-0000-00001E1E0000}"/>
    <cellStyle name="Normal 31 3 2 2 7 2" xfId="2382" xr:uid="{00000000-0005-0000-0000-00001F1E0000}"/>
    <cellStyle name="Normal 31 3 2 2 7 2 2" xfId="6242" xr:uid="{00000000-0005-0000-0000-0000201E0000}"/>
    <cellStyle name="Normal 31 3 2 2 7 2 3" xfId="11194" xr:uid="{00000000-0005-0000-0000-0000211E0000}"/>
    <cellStyle name="Normal 31 3 2 2 7 3" xfId="3610" xr:uid="{00000000-0005-0000-0000-0000221E0000}"/>
    <cellStyle name="Normal 31 3 2 2 7 3 2" xfId="7466" xr:uid="{00000000-0005-0000-0000-0000231E0000}"/>
    <cellStyle name="Normal 31 3 2 2 7 3 3" xfId="9952" xr:uid="{00000000-0005-0000-0000-0000241E0000}"/>
    <cellStyle name="Normal 31 3 2 2 7 4" xfId="5018" xr:uid="{00000000-0005-0000-0000-0000251E0000}"/>
    <cellStyle name="Normal 31 3 2 2 7 5" xfId="8710" xr:uid="{00000000-0005-0000-0000-0000261E0000}"/>
    <cellStyle name="Normal 31 3 2 2 8" xfId="1770" xr:uid="{00000000-0005-0000-0000-0000271E0000}"/>
    <cellStyle name="Normal 31 3 2 2 8 2" xfId="5630" xr:uid="{00000000-0005-0000-0000-0000281E0000}"/>
    <cellStyle name="Normal 31 3 2 2 8 3" xfId="10564" xr:uid="{00000000-0005-0000-0000-0000291E0000}"/>
    <cellStyle name="Normal 31 3 2 2 9" xfId="2997" xr:uid="{00000000-0005-0000-0000-00002A1E0000}"/>
    <cellStyle name="Normal 31 3 2 2 9 2" xfId="6854" xr:uid="{00000000-0005-0000-0000-00002B1E0000}"/>
    <cellStyle name="Normal 31 3 2 2 9 3" xfId="11824" xr:uid="{00000000-0005-0000-0000-00002C1E0000}"/>
    <cellStyle name="Normal 31 3 2 3" xfId="569" xr:uid="{00000000-0005-0000-0000-00002D1E0000}"/>
    <cellStyle name="Normal 31 3 2 3 2" xfId="750" xr:uid="{00000000-0005-0000-0000-00002E1E0000}"/>
    <cellStyle name="Normal 31 3 2 3 2 2" xfId="1100" xr:uid="{00000000-0005-0000-0000-00002F1E0000}"/>
    <cellStyle name="Normal 31 3 2 3 2 2 2" xfId="1714" xr:uid="{00000000-0005-0000-0000-0000301E0000}"/>
    <cellStyle name="Normal 31 3 2 3 2 2 2 2" xfId="2940" xr:uid="{00000000-0005-0000-0000-0000311E0000}"/>
    <cellStyle name="Normal 31 3 2 3 2 2 2 2 2" xfId="6800" xr:uid="{00000000-0005-0000-0000-0000321E0000}"/>
    <cellStyle name="Normal 31 3 2 3 2 2 2 2 3" xfId="11752" xr:uid="{00000000-0005-0000-0000-0000331E0000}"/>
    <cellStyle name="Normal 31 3 2 3 2 2 2 3" xfId="4168" xr:uid="{00000000-0005-0000-0000-0000341E0000}"/>
    <cellStyle name="Normal 31 3 2 3 2 2 2 3 2" xfId="8024" xr:uid="{00000000-0005-0000-0000-0000351E0000}"/>
    <cellStyle name="Normal 31 3 2 3 2 2 2 3 3" xfId="10510" xr:uid="{00000000-0005-0000-0000-0000361E0000}"/>
    <cellStyle name="Normal 31 3 2 3 2 2 2 4" xfId="5576" xr:uid="{00000000-0005-0000-0000-0000371E0000}"/>
    <cellStyle name="Normal 31 3 2 3 2 2 2 5" xfId="9268" xr:uid="{00000000-0005-0000-0000-0000381E0000}"/>
    <cellStyle name="Normal 31 3 2 3 2 2 3" xfId="2328" xr:uid="{00000000-0005-0000-0000-0000391E0000}"/>
    <cellStyle name="Normal 31 3 2 3 2 2 3 2" xfId="6188" xr:uid="{00000000-0005-0000-0000-00003A1E0000}"/>
    <cellStyle name="Normal 31 3 2 3 2 2 3 3" xfId="11104" xr:uid="{00000000-0005-0000-0000-00003B1E0000}"/>
    <cellStyle name="Normal 31 3 2 3 2 2 4" xfId="3556" xr:uid="{00000000-0005-0000-0000-00003C1E0000}"/>
    <cellStyle name="Normal 31 3 2 3 2 2 4 2" xfId="7412" xr:uid="{00000000-0005-0000-0000-00003D1E0000}"/>
    <cellStyle name="Normal 31 3 2 3 2 2 4 3" xfId="9862" xr:uid="{00000000-0005-0000-0000-00003E1E0000}"/>
    <cellStyle name="Normal 31 3 2 3 2 2 5" xfId="4964" xr:uid="{00000000-0005-0000-0000-00003F1E0000}"/>
    <cellStyle name="Normal 31 3 2 3 2 2 6" xfId="8619" xr:uid="{00000000-0005-0000-0000-0000401E0000}"/>
    <cellStyle name="Normal 31 3 2 3 2 3" xfId="1408" xr:uid="{00000000-0005-0000-0000-0000411E0000}"/>
    <cellStyle name="Normal 31 3 2 3 2 3 2" xfId="2634" xr:uid="{00000000-0005-0000-0000-0000421E0000}"/>
    <cellStyle name="Normal 31 3 2 3 2 3 2 2" xfId="6494" xr:uid="{00000000-0005-0000-0000-0000431E0000}"/>
    <cellStyle name="Normal 31 3 2 3 2 3 2 3" xfId="11446" xr:uid="{00000000-0005-0000-0000-0000441E0000}"/>
    <cellStyle name="Normal 31 3 2 3 2 3 3" xfId="3862" xr:uid="{00000000-0005-0000-0000-0000451E0000}"/>
    <cellStyle name="Normal 31 3 2 3 2 3 3 2" xfId="7718" xr:uid="{00000000-0005-0000-0000-0000461E0000}"/>
    <cellStyle name="Normal 31 3 2 3 2 3 3 3" xfId="10204" xr:uid="{00000000-0005-0000-0000-0000471E0000}"/>
    <cellStyle name="Normal 31 3 2 3 2 3 4" xfId="5270" xr:uid="{00000000-0005-0000-0000-0000481E0000}"/>
    <cellStyle name="Normal 31 3 2 3 2 3 5" xfId="8962" xr:uid="{00000000-0005-0000-0000-0000491E0000}"/>
    <cellStyle name="Normal 31 3 2 3 2 4" xfId="2022" xr:uid="{00000000-0005-0000-0000-00004A1E0000}"/>
    <cellStyle name="Normal 31 3 2 3 2 4 2" xfId="5882" xr:uid="{00000000-0005-0000-0000-00004B1E0000}"/>
    <cellStyle name="Normal 31 3 2 3 2 4 3" xfId="10816" xr:uid="{00000000-0005-0000-0000-00004C1E0000}"/>
    <cellStyle name="Normal 31 3 2 3 2 5" xfId="3249" xr:uid="{00000000-0005-0000-0000-00004D1E0000}"/>
    <cellStyle name="Normal 31 3 2 3 2 5 2" xfId="7106" xr:uid="{00000000-0005-0000-0000-00004E1E0000}"/>
    <cellStyle name="Normal 31 3 2 3 2 5 3" xfId="12022" xr:uid="{00000000-0005-0000-0000-00004F1E0000}"/>
    <cellStyle name="Normal 31 3 2 3 2 6" xfId="4658" xr:uid="{00000000-0005-0000-0000-0000501E0000}"/>
    <cellStyle name="Normal 31 3 2 3 2 6 2" xfId="9574" xr:uid="{00000000-0005-0000-0000-0000511E0000}"/>
    <cellStyle name="Normal 31 3 2 3 2 7" xfId="8331" xr:uid="{00000000-0005-0000-0000-0000521E0000}"/>
    <cellStyle name="Normal 31 3 2 3 3" xfId="660" xr:uid="{00000000-0005-0000-0000-0000531E0000}"/>
    <cellStyle name="Normal 31 3 2 3 3 2" xfId="1010" xr:uid="{00000000-0005-0000-0000-0000541E0000}"/>
    <cellStyle name="Normal 31 3 2 3 3 2 2" xfId="1624" xr:uid="{00000000-0005-0000-0000-0000551E0000}"/>
    <cellStyle name="Normal 31 3 2 3 3 2 2 2" xfId="2850" xr:uid="{00000000-0005-0000-0000-0000561E0000}"/>
    <cellStyle name="Normal 31 3 2 3 3 2 2 2 2" xfId="6710" xr:uid="{00000000-0005-0000-0000-0000571E0000}"/>
    <cellStyle name="Normal 31 3 2 3 3 2 2 2 3" xfId="11662" xr:uid="{00000000-0005-0000-0000-0000581E0000}"/>
    <cellStyle name="Normal 31 3 2 3 3 2 2 3" xfId="4078" xr:uid="{00000000-0005-0000-0000-0000591E0000}"/>
    <cellStyle name="Normal 31 3 2 3 3 2 2 3 2" xfId="7934" xr:uid="{00000000-0005-0000-0000-00005A1E0000}"/>
    <cellStyle name="Normal 31 3 2 3 3 2 2 3 3" xfId="10420" xr:uid="{00000000-0005-0000-0000-00005B1E0000}"/>
    <cellStyle name="Normal 31 3 2 3 3 2 2 4" xfId="5486" xr:uid="{00000000-0005-0000-0000-00005C1E0000}"/>
    <cellStyle name="Normal 31 3 2 3 3 2 2 5" xfId="9178" xr:uid="{00000000-0005-0000-0000-00005D1E0000}"/>
    <cellStyle name="Normal 31 3 2 3 3 2 3" xfId="2238" xr:uid="{00000000-0005-0000-0000-00005E1E0000}"/>
    <cellStyle name="Normal 31 3 2 3 3 2 3 2" xfId="6098" xr:uid="{00000000-0005-0000-0000-00005F1E0000}"/>
    <cellStyle name="Normal 31 3 2 3 3 2 3 3" xfId="11014" xr:uid="{00000000-0005-0000-0000-0000601E0000}"/>
    <cellStyle name="Normal 31 3 2 3 3 2 4" xfId="3466" xr:uid="{00000000-0005-0000-0000-0000611E0000}"/>
    <cellStyle name="Normal 31 3 2 3 3 2 4 2" xfId="7322" xr:uid="{00000000-0005-0000-0000-0000621E0000}"/>
    <cellStyle name="Normal 31 3 2 3 3 2 4 3" xfId="9772" xr:uid="{00000000-0005-0000-0000-0000631E0000}"/>
    <cellStyle name="Normal 31 3 2 3 3 2 5" xfId="4874" xr:uid="{00000000-0005-0000-0000-0000641E0000}"/>
    <cellStyle name="Normal 31 3 2 3 3 2 6" xfId="8529" xr:uid="{00000000-0005-0000-0000-0000651E0000}"/>
    <cellStyle name="Normal 31 3 2 3 3 3" xfId="1318" xr:uid="{00000000-0005-0000-0000-0000661E0000}"/>
    <cellStyle name="Normal 31 3 2 3 3 3 2" xfId="2544" xr:uid="{00000000-0005-0000-0000-0000671E0000}"/>
    <cellStyle name="Normal 31 3 2 3 3 3 2 2" xfId="6404" xr:uid="{00000000-0005-0000-0000-0000681E0000}"/>
    <cellStyle name="Normal 31 3 2 3 3 3 2 3" xfId="11356" xr:uid="{00000000-0005-0000-0000-0000691E0000}"/>
    <cellStyle name="Normal 31 3 2 3 3 3 3" xfId="3772" xr:uid="{00000000-0005-0000-0000-00006A1E0000}"/>
    <cellStyle name="Normal 31 3 2 3 3 3 3 2" xfId="7628" xr:uid="{00000000-0005-0000-0000-00006B1E0000}"/>
    <cellStyle name="Normal 31 3 2 3 3 3 3 3" xfId="10114" xr:uid="{00000000-0005-0000-0000-00006C1E0000}"/>
    <cellStyle name="Normal 31 3 2 3 3 3 4" xfId="5180" xr:uid="{00000000-0005-0000-0000-00006D1E0000}"/>
    <cellStyle name="Normal 31 3 2 3 3 3 5" xfId="8872" xr:uid="{00000000-0005-0000-0000-00006E1E0000}"/>
    <cellStyle name="Normal 31 3 2 3 3 4" xfId="1932" xr:uid="{00000000-0005-0000-0000-00006F1E0000}"/>
    <cellStyle name="Normal 31 3 2 3 3 4 2" xfId="5792" xr:uid="{00000000-0005-0000-0000-0000701E0000}"/>
    <cellStyle name="Normal 31 3 2 3 3 4 3" xfId="10726" xr:uid="{00000000-0005-0000-0000-0000711E0000}"/>
    <cellStyle name="Normal 31 3 2 3 3 5" xfId="3159" xr:uid="{00000000-0005-0000-0000-0000721E0000}"/>
    <cellStyle name="Normal 31 3 2 3 3 5 2" xfId="7016" xr:uid="{00000000-0005-0000-0000-0000731E0000}"/>
    <cellStyle name="Normal 31 3 2 3 3 5 3" xfId="11932" xr:uid="{00000000-0005-0000-0000-0000741E0000}"/>
    <cellStyle name="Normal 31 3 2 3 3 6" xfId="4568" xr:uid="{00000000-0005-0000-0000-0000751E0000}"/>
    <cellStyle name="Normal 31 3 2 3 3 6 2" xfId="9484" xr:uid="{00000000-0005-0000-0000-0000761E0000}"/>
    <cellStyle name="Normal 31 3 2 3 3 7" xfId="8241" xr:uid="{00000000-0005-0000-0000-0000771E0000}"/>
    <cellStyle name="Normal 31 3 2 3 4" xfId="919" xr:uid="{00000000-0005-0000-0000-0000781E0000}"/>
    <cellStyle name="Normal 31 3 2 3 4 2" xfId="1534" xr:uid="{00000000-0005-0000-0000-0000791E0000}"/>
    <cellStyle name="Normal 31 3 2 3 4 2 2" xfId="2760" xr:uid="{00000000-0005-0000-0000-00007A1E0000}"/>
    <cellStyle name="Normal 31 3 2 3 4 2 2 2" xfId="6620" xr:uid="{00000000-0005-0000-0000-00007B1E0000}"/>
    <cellStyle name="Normal 31 3 2 3 4 2 2 3" xfId="11572" xr:uid="{00000000-0005-0000-0000-00007C1E0000}"/>
    <cellStyle name="Normal 31 3 2 3 4 2 3" xfId="3988" xr:uid="{00000000-0005-0000-0000-00007D1E0000}"/>
    <cellStyle name="Normal 31 3 2 3 4 2 3 2" xfId="7844" xr:uid="{00000000-0005-0000-0000-00007E1E0000}"/>
    <cellStyle name="Normal 31 3 2 3 4 2 3 3" xfId="10330" xr:uid="{00000000-0005-0000-0000-00007F1E0000}"/>
    <cellStyle name="Normal 31 3 2 3 4 2 4" xfId="5396" xr:uid="{00000000-0005-0000-0000-0000801E0000}"/>
    <cellStyle name="Normal 31 3 2 3 4 2 5" xfId="9088" xr:uid="{00000000-0005-0000-0000-0000811E0000}"/>
    <cellStyle name="Normal 31 3 2 3 4 3" xfId="2148" xr:uid="{00000000-0005-0000-0000-0000821E0000}"/>
    <cellStyle name="Normal 31 3 2 3 4 3 2" xfId="6008" xr:uid="{00000000-0005-0000-0000-0000831E0000}"/>
    <cellStyle name="Normal 31 3 2 3 4 3 3" xfId="10924" xr:uid="{00000000-0005-0000-0000-0000841E0000}"/>
    <cellStyle name="Normal 31 3 2 3 4 4" xfId="3376" xr:uid="{00000000-0005-0000-0000-0000851E0000}"/>
    <cellStyle name="Normal 31 3 2 3 4 4 2" xfId="7232" xr:uid="{00000000-0005-0000-0000-0000861E0000}"/>
    <cellStyle name="Normal 31 3 2 3 4 4 3" xfId="9682" xr:uid="{00000000-0005-0000-0000-0000871E0000}"/>
    <cellStyle name="Normal 31 3 2 3 4 5" xfId="4784" xr:uid="{00000000-0005-0000-0000-0000881E0000}"/>
    <cellStyle name="Normal 31 3 2 3 4 6" xfId="8439" xr:uid="{00000000-0005-0000-0000-0000891E0000}"/>
    <cellStyle name="Normal 31 3 2 3 5" xfId="1228" xr:uid="{00000000-0005-0000-0000-00008A1E0000}"/>
    <cellStyle name="Normal 31 3 2 3 5 2" xfId="2454" xr:uid="{00000000-0005-0000-0000-00008B1E0000}"/>
    <cellStyle name="Normal 31 3 2 3 5 2 2" xfId="6314" xr:uid="{00000000-0005-0000-0000-00008C1E0000}"/>
    <cellStyle name="Normal 31 3 2 3 5 2 3" xfId="11266" xr:uid="{00000000-0005-0000-0000-00008D1E0000}"/>
    <cellStyle name="Normal 31 3 2 3 5 3" xfId="3682" xr:uid="{00000000-0005-0000-0000-00008E1E0000}"/>
    <cellStyle name="Normal 31 3 2 3 5 3 2" xfId="7538" xr:uid="{00000000-0005-0000-0000-00008F1E0000}"/>
    <cellStyle name="Normal 31 3 2 3 5 3 3" xfId="10024" xr:uid="{00000000-0005-0000-0000-0000901E0000}"/>
    <cellStyle name="Normal 31 3 2 3 5 4" xfId="5090" xr:uid="{00000000-0005-0000-0000-0000911E0000}"/>
    <cellStyle name="Normal 31 3 2 3 5 5" xfId="8782" xr:uid="{00000000-0005-0000-0000-0000921E0000}"/>
    <cellStyle name="Normal 31 3 2 3 6" xfId="1842" xr:uid="{00000000-0005-0000-0000-0000931E0000}"/>
    <cellStyle name="Normal 31 3 2 3 6 2" xfId="5702" xr:uid="{00000000-0005-0000-0000-0000941E0000}"/>
    <cellStyle name="Normal 31 3 2 3 6 3" xfId="10636" xr:uid="{00000000-0005-0000-0000-0000951E0000}"/>
    <cellStyle name="Normal 31 3 2 3 7" xfId="3069" xr:uid="{00000000-0005-0000-0000-0000961E0000}"/>
    <cellStyle name="Normal 31 3 2 3 7 2" xfId="6926" xr:uid="{00000000-0005-0000-0000-0000971E0000}"/>
    <cellStyle name="Normal 31 3 2 3 7 3" xfId="11842" xr:uid="{00000000-0005-0000-0000-0000981E0000}"/>
    <cellStyle name="Normal 31 3 2 3 8" xfId="4478" xr:uid="{00000000-0005-0000-0000-0000991E0000}"/>
    <cellStyle name="Normal 31 3 2 3 8 2" xfId="9394" xr:uid="{00000000-0005-0000-0000-00009A1E0000}"/>
    <cellStyle name="Normal 31 3 2 3 9" xfId="8151" xr:uid="{00000000-0005-0000-0000-00009B1E0000}"/>
    <cellStyle name="Normal 31 3 2 4" xfId="512" xr:uid="{00000000-0005-0000-0000-00009C1E0000}"/>
    <cellStyle name="Normal 31 3 2 4 2" xfId="714" xr:uid="{00000000-0005-0000-0000-00009D1E0000}"/>
    <cellStyle name="Normal 31 3 2 4 2 2" xfId="1064" xr:uid="{00000000-0005-0000-0000-00009E1E0000}"/>
    <cellStyle name="Normal 31 3 2 4 2 2 2" xfId="1678" xr:uid="{00000000-0005-0000-0000-00009F1E0000}"/>
    <cellStyle name="Normal 31 3 2 4 2 2 2 2" xfId="2904" xr:uid="{00000000-0005-0000-0000-0000A01E0000}"/>
    <cellStyle name="Normal 31 3 2 4 2 2 2 2 2" xfId="6764" xr:uid="{00000000-0005-0000-0000-0000A11E0000}"/>
    <cellStyle name="Normal 31 3 2 4 2 2 2 2 3" xfId="11716" xr:uid="{00000000-0005-0000-0000-0000A21E0000}"/>
    <cellStyle name="Normal 31 3 2 4 2 2 2 3" xfId="4132" xr:uid="{00000000-0005-0000-0000-0000A31E0000}"/>
    <cellStyle name="Normal 31 3 2 4 2 2 2 3 2" xfId="7988" xr:uid="{00000000-0005-0000-0000-0000A41E0000}"/>
    <cellStyle name="Normal 31 3 2 4 2 2 2 3 3" xfId="10474" xr:uid="{00000000-0005-0000-0000-0000A51E0000}"/>
    <cellStyle name="Normal 31 3 2 4 2 2 2 4" xfId="5540" xr:uid="{00000000-0005-0000-0000-0000A61E0000}"/>
    <cellStyle name="Normal 31 3 2 4 2 2 2 5" xfId="9232" xr:uid="{00000000-0005-0000-0000-0000A71E0000}"/>
    <cellStyle name="Normal 31 3 2 4 2 2 3" xfId="2292" xr:uid="{00000000-0005-0000-0000-0000A81E0000}"/>
    <cellStyle name="Normal 31 3 2 4 2 2 3 2" xfId="6152" xr:uid="{00000000-0005-0000-0000-0000A91E0000}"/>
    <cellStyle name="Normal 31 3 2 4 2 2 3 3" xfId="11068" xr:uid="{00000000-0005-0000-0000-0000AA1E0000}"/>
    <cellStyle name="Normal 31 3 2 4 2 2 4" xfId="3520" xr:uid="{00000000-0005-0000-0000-0000AB1E0000}"/>
    <cellStyle name="Normal 31 3 2 4 2 2 4 2" xfId="7376" xr:uid="{00000000-0005-0000-0000-0000AC1E0000}"/>
    <cellStyle name="Normal 31 3 2 4 2 2 4 3" xfId="9826" xr:uid="{00000000-0005-0000-0000-0000AD1E0000}"/>
    <cellStyle name="Normal 31 3 2 4 2 2 5" xfId="4928" xr:uid="{00000000-0005-0000-0000-0000AE1E0000}"/>
    <cellStyle name="Normal 31 3 2 4 2 2 6" xfId="8583" xr:uid="{00000000-0005-0000-0000-0000AF1E0000}"/>
    <cellStyle name="Normal 31 3 2 4 2 3" xfId="1372" xr:uid="{00000000-0005-0000-0000-0000B01E0000}"/>
    <cellStyle name="Normal 31 3 2 4 2 3 2" xfId="2598" xr:uid="{00000000-0005-0000-0000-0000B11E0000}"/>
    <cellStyle name="Normal 31 3 2 4 2 3 2 2" xfId="6458" xr:uid="{00000000-0005-0000-0000-0000B21E0000}"/>
    <cellStyle name="Normal 31 3 2 4 2 3 2 3" xfId="11410" xr:uid="{00000000-0005-0000-0000-0000B31E0000}"/>
    <cellStyle name="Normal 31 3 2 4 2 3 3" xfId="3826" xr:uid="{00000000-0005-0000-0000-0000B41E0000}"/>
    <cellStyle name="Normal 31 3 2 4 2 3 3 2" xfId="7682" xr:uid="{00000000-0005-0000-0000-0000B51E0000}"/>
    <cellStyle name="Normal 31 3 2 4 2 3 3 3" xfId="10168" xr:uid="{00000000-0005-0000-0000-0000B61E0000}"/>
    <cellStyle name="Normal 31 3 2 4 2 3 4" xfId="5234" xr:uid="{00000000-0005-0000-0000-0000B71E0000}"/>
    <cellStyle name="Normal 31 3 2 4 2 3 5" xfId="8926" xr:uid="{00000000-0005-0000-0000-0000B81E0000}"/>
    <cellStyle name="Normal 31 3 2 4 2 4" xfId="1986" xr:uid="{00000000-0005-0000-0000-0000B91E0000}"/>
    <cellStyle name="Normal 31 3 2 4 2 4 2" xfId="5846" xr:uid="{00000000-0005-0000-0000-0000BA1E0000}"/>
    <cellStyle name="Normal 31 3 2 4 2 4 3" xfId="10780" xr:uid="{00000000-0005-0000-0000-0000BB1E0000}"/>
    <cellStyle name="Normal 31 3 2 4 2 5" xfId="3213" xr:uid="{00000000-0005-0000-0000-0000BC1E0000}"/>
    <cellStyle name="Normal 31 3 2 4 2 5 2" xfId="7070" xr:uid="{00000000-0005-0000-0000-0000BD1E0000}"/>
    <cellStyle name="Normal 31 3 2 4 2 5 3" xfId="11986" xr:uid="{00000000-0005-0000-0000-0000BE1E0000}"/>
    <cellStyle name="Normal 31 3 2 4 2 6" xfId="4622" xr:uid="{00000000-0005-0000-0000-0000BF1E0000}"/>
    <cellStyle name="Normal 31 3 2 4 2 6 2" xfId="9538" xr:uid="{00000000-0005-0000-0000-0000C01E0000}"/>
    <cellStyle name="Normal 31 3 2 4 2 7" xfId="8295" xr:uid="{00000000-0005-0000-0000-0000C11E0000}"/>
    <cellStyle name="Normal 31 3 2 4 3" xfId="624" xr:uid="{00000000-0005-0000-0000-0000C21E0000}"/>
    <cellStyle name="Normal 31 3 2 4 3 2" xfId="974" xr:uid="{00000000-0005-0000-0000-0000C31E0000}"/>
    <cellStyle name="Normal 31 3 2 4 3 2 2" xfId="1588" xr:uid="{00000000-0005-0000-0000-0000C41E0000}"/>
    <cellStyle name="Normal 31 3 2 4 3 2 2 2" xfId="2814" xr:uid="{00000000-0005-0000-0000-0000C51E0000}"/>
    <cellStyle name="Normal 31 3 2 4 3 2 2 2 2" xfId="6674" xr:uid="{00000000-0005-0000-0000-0000C61E0000}"/>
    <cellStyle name="Normal 31 3 2 4 3 2 2 2 3" xfId="11626" xr:uid="{00000000-0005-0000-0000-0000C71E0000}"/>
    <cellStyle name="Normal 31 3 2 4 3 2 2 3" xfId="4042" xr:uid="{00000000-0005-0000-0000-0000C81E0000}"/>
    <cellStyle name="Normal 31 3 2 4 3 2 2 3 2" xfId="7898" xr:uid="{00000000-0005-0000-0000-0000C91E0000}"/>
    <cellStyle name="Normal 31 3 2 4 3 2 2 3 3" xfId="10384" xr:uid="{00000000-0005-0000-0000-0000CA1E0000}"/>
    <cellStyle name="Normal 31 3 2 4 3 2 2 4" xfId="5450" xr:uid="{00000000-0005-0000-0000-0000CB1E0000}"/>
    <cellStyle name="Normal 31 3 2 4 3 2 2 5" xfId="9142" xr:uid="{00000000-0005-0000-0000-0000CC1E0000}"/>
    <cellStyle name="Normal 31 3 2 4 3 2 3" xfId="2202" xr:uid="{00000000-0005-0000-0000-0000CD1E0000}"/>
    <cellStyle name="Normal 31 3 2 4 3 2 3 2" xfId="6062" xr:uid="{00000000-0005-0000-0000-0000CE1E0000}"/>
    <cellStyle name="Normal 31 3 2 4 3 2 3 3" xfId="10978" xr:uid="{00000000-0005-0000-0000-0000CF1E0000}"/>
    <cellStyle name="Normal 31 3 2 4 3 2 4" xfId="3430" xr:uid="{00000000-0005-0000-0000-0000D01E0000}"/>
    <cellStyle name="Normal 31 3 2 4 3 2 4 2" xfId="7286" xr:uid="{00000000-0005-0000-0000-0000D11E0000}"/>
    <cellStyle name="Normal 31 3 2 4 3 2 4 3" xfId="9736" xr:uid="{00000000-0005-0000-0000-0000D21E0000}"/>
    <cellStyle name="Normal 31 3 2 4 3 2 5" xfId="4838" xr:uid="{00000000-0005-0000-0000-0000D31E0000}"/>
    <cellStyle name="Normal 31 3 2 4 3 2 6" xfId="8493" xr:uid="{00000000-0005-0000-0000-0000D41E0000}"/>
    <cellStyle name="Normal 31 3 2 4 3 3" xfId="1282" xr:uid="{00000000-0005-0000-0000-0000D51E0000}"/>
    <cellStyle name="Normal 31 3 2 4 3 3 2" xfId="2508" xr:uid="{00000000-0005-0000-0000-0000D61E0000}"/>
    <cellStyle name="Normal 31 3 2 4 3 3 2 2" xfId="6368" xr:uid="{00000000-0005-0000-0000-0000D71E0000}"/>
    <cellStyle name="Normal 31 3 2 4 3 3 2 3" xfId="11320" xr:uid="{00000000-0005-0000-0000-0000D81E0000}"/>
    <cellStyle name="Normal 31 3 2 4 3 3 3" xfId="3736" xr:uid="{00000000-0005-0000-0000-0000D91E0000}"/>
    <cellStyle name="Normal 31 3 2 4 3 3 3 2" xfId="7592" xr:uid="{00000000-0005-0000-0000-0000DA1E0000}"/>
    <cellStyle name="Normal 31 3 2 4 3 3 3 3" xfId="10078" xr:uid="{00000000-0005-0000-0000-0000DB1E0000}"/>
    <cellStyle name="Normal 31 3 2 4 3 3 4" xfId="5144" xr:uid="{00000000-0005-0000-0000-0000DC1E0000}"/>
    <cellStyle name="Normal 31 3 2 4 3 3 5" xfId="8836" xr:uid="{00000000-0005-0000-0000-0000DD1E0000}"/>
    <cellStyle name="Normal 31 3 2 4 3 4" xfId="1896" xr:uid="{00000000-0005-0000-0000-0000DE1E0000}"/>
    <cellStyle name="Normal 31 3 2 4 3 4 2" xfId="5756" xr:uid="{00000000-0005-0000-0000-0000DF1E0000}"/>
    <cellStyle name="Normal 31 3 2 4 3 4 3" xfId="10690" xr:uid="{00000000-0005-0000-0000-0000E01E0000}"/>
    <cellStyle name="Normal 31 3 2 4 3 5" xfId="3123" xr:uid="{00000000-0005-0000-0000-0000E11E0000}"/>
    <cellStyle name="Normal 31 3 2 4 3 5 2" xfId="6980" xr:uid="{00000000-0005-0000-0000-0000E21E0000}"/>
    <cellStyle name="Normal 31 3 2 4 3 5 3" xfId="11896" xr:uid="{00000000-0005-0000-0000-0000E31E0000}"/>
    <cellStyle name="Normal 31 3 2 4 3 6" xfId="4532" xr:uid="{00000000-0005-0000-0000-0000E41E0000}"/>
    <cellStyle name="Normal 31 3 2 4 3 6 2" xfId="9448" xr:uid="{00000000-0005-0000-0000-0000E51E0000}"/>
    <cellStyle name="Normal 31 3 2 4 3 7" xfId="8205" xr:uid="{00000000-0005-0000-0000-0000E61E0000}"/>
    <cellStyle name="Normal 31 3 2 4 4" xfId="862" xr:uid="{00000000-0005-0000-0000-0000E71E0000}"/>
    <cellStyle name="Normal 31 3 2 4 4 2" xfId="1498" xr:uid="{00000000-0005-0000-0000-0000E81E0000}"/>
    <cellStyle name="Normal 31 3 2 4 4 2 2" xfId="2724" xr:uid="{00000000-0005-0000-0000-0000E91E0000}"/>
    <cellStyle name="Normal 31 3 2 4 4 2 2 2" xfId="6584" xr:uid="{00000000-0005-0000-0000-0000EA1E0000}"/>
    <cellStyle name="Normal 31 3 2 4 4 2 2 3" xfId="11536" xr:uid="{00000000-0005-0000-0000-0000EB1E0000}"/>
    <cellStyle name="Normal 31 3 2 4 4 2 3" xfId="3952" xr:uid="{00000000-0005-0000-0000-0000EC1E0000}"/>
    <cellStyle name="Normal 31 3 2 4 4 2 3 2" xfId="7808" xr:uid="{00000000-0005-0000-0000-0000ED1E0000}"/>
    <cellStyle name="Normal 31 3 2 4 4 2 3 3" xfId="10294" xr:uid="{00000000-0005-0000-0000-0000EE1E0000}"/>
    <cellStyle name="Normal 31 3 2 4 4 2 4" xfId="5360" xr:uid="{00000000-0005-0000-0000-0000EF1E0000}"/>
    <cellStyle name="Normal 31 3 2 4 4 2 5" xfId="9052" xr:uid="{00000000-0005-0000-0000-0000F01E0000}"/>
    <cellStyle name="Normal 31 3 2 4 4 3" xfId="2112" xr:uid="{00000000-0005-0000-0000-0000F11E0000}"/>
    <cellStyle name="Normal 31 3 2 4 4 3 2" xfId="5972" xr:uid="{00000000-0005-0000-0000-0000F21E0000}"/>
    <cellStyle name="Normal 31 3 2 4 4 3 3" xfId="10888" xr:uid="{00000000-0005-0000-0000-0000F31E0000}"/>
    <cellStyle name="Normal 31 3 2 4 4 4" xfId="3340" xr:uid="{00000000-0005-0000-0000-0000F41E0000}"/>
    <cellStyle name="Normal 31 3 2 4 4 4 2" xfId="7196" xr:uid="{00000000-0005-0000-0000-0000F51E0000}"/>
    <cellStyle name="Normal 31 3 2 4 4 4 3" xfId="9646" xr:uid="{00000000-0005-0000-0000-0000F61E0000}"/>
    <cellStyle name="Normal 31 3 2 4 4 5" xfId="4748" xr:uid="{00000000-0005-0000-0000-0000F71E0000}"/>
    <cellStyle name="Normal 31 3 2 4 4 6" xfId="8403" xr:uid="{00000000-0005-0000-0000-0000F81E0000}"/>
    <cellStyle name="Normal 31 3 2 4 5" xfId="1192" xr:uid="{00000000-0005-0000-0000-0000F91E0000}"/>
    <cellStyle name="Normal 31 3 2 4 5 2" xfId="2418" xr:uid="{00000000-0005-0000-0000-0000FA1E0000}"/>
    <cellStyle name="Normal 31 3 2 4 5 2 2" xfId="6278" xr:uid="{00000000-0005-0000-0000-0000FB1E0000}"/>
    <cellStyle name="Normal 31 3 2 4 5 2 3" xfId="11230" xr:uid="{00000000-0005-0000-0000-0000FC1E0000}"/>
    <cellStyle name="Normal 31 3 2 4 5 3" xfId="3646" xr:uid="{00000000-0005-0000-0000-0000FD1E0000}"/>
    <cellStyle name="Normal 31 3 2 4 5 3 2" xfId="7502" xr:uid="{00000000-0005-0000-0000-0000FE1E0000}"/>
    <cellStyle name="Normal 31 3 2 4 5 3 3" xfId="9988" xr:uid="{00000000-0005-0000-0000-0000FF1E0000}"/>
    <cellStyle name="Normal 31 3 2 4 5 4" xfId="5054" xr:uid="{00000000-0005-0000-0000-0000001F0000}"/>
    <cellStyle name="Normal 31 3 2 4 5 5" xfId="8746" xr:uid="{00000000-0005-0000-0000-0000011F0000}"/>
    <cellStyle name="Normal 31 3 2 4 6" xfId="1806" xr:uid="{00000000-0005-0000-0000-0000021F0000}"/>
    <cellStyle name="Normal 31 3 2 4 6 2" xfId="5666" xr:uid="{00000000-0005-0000-0000-0000031F0000}"/>
    <cellStyle name="Normal 31 3 2 4 6 3" xfId="10600" xr:uid="{00000000-0005-0000-0000-0000041F0000}"/>
    <cellStyle name="Normal 31 3 2 4 7" xfId="3033" xr:uid="{00000000-0005-0000-0000-0000051F0000}"/>
    <cellStyle name="Normal 31 3 2 4 7 2" xfId="6890" xr:uid="{00000000-0005-0000-0000-0000061F0000}"/>
    <cellStyle name="Normal 31 3 2 4 7 3" xfId="11806" xr:uid="{00000000-0005-0000-0000-0000071F0000}"/>
    <cellStyle name="Normal 31 3 2 4 8" xfId="4442" xr:uid="{00000000-0005-0000-0000-0000081F0000}"/>
    <cellStyle name="Normal 31 3 2 4 8 2" xfId="9358" xr:uid="{00000000-0005-0000-0000-0000091F0000}"/>
    <cellStyle name="Normal 31 3 2 4 9" xfId="8115" xr:uid="{00000000-0005-0000-0000-00000A1F0000}"/>
    <cellStyle name="Normal 31 3 2 5" xfId="696" xr:uid="{00000000-0005-0000-0000-00000B1F0000}"/>
    <cellStyle name="Normal 31 3 2 5 2" xfId="1046" xr:uid="{00000000-0005-0000-0000-00000C1F0000}"/>
    <cellStyle name="Normal 31 3 2 5 2 2" xfId="1660" xr:uid="{00000000-0005-0000-0000-00000D1F0000}"/>
    <cellStyle name="Normal 31 3 2 5 2 2 2" xfId="2886" xr:uid="{00000000-0005-0000-0000-00000E1F0000}"/>
    <cellStyle name="Normal 31 3 2 5 2 2 2 2" xfId="6746" xr:uid="{00000000-0005-0000-0000-00000F1F0000}"/>
    <cellStyle name="Normal 31 3 2 5 2 2 2 3" xfId="11698" xr:uid="{00000000-0005-0000-0000-0000101F0000}"/>
    <cellStyle name="Normal 31 3 2 5 2 2 3" xfId="4114" xr:uid="{00000000-0005-0000-0000-0000111F0000}"/>
    <cellStyle name="Normal 31 3 2 5 2 2 3 2" xfId="7970" xr:uid="{00000000-0005-0000-0000-0000121F0000}"/>
    <cellStyle name="Normal 31 3 2 5 2 2 3 3" xfId="10456" xr:uid="{00000000-0005-0000-0000-0000131F0000}"/>
    <cellStyle name="Normal 31 3 2 5 2 2 4" xfId="5522" xr:uid="{00000000-0005-0000-0000-0000141F0000}"/>
    <cellStyle name="Normal 31 3 2 5 2 2 5" xfId="9214" xr:uid="{00000000-0005-0000-0000-0000151F0000}"/>
    <cellStyle name="Normal 31 3 2 5 2 3" xfId="2274" xr:uid="{00000000-0005-0000-0000-0000161F0000}"/>
    <cellStyle name="Normal 31 3 2 5 2 3 2" xfId="6134" xr:uid="{00000000-0005-0000-0000-0000171F0000}"/>
    <cellStyle name="Normal 31 3 2 5 2 3 3" xfId="11050" xr:uid="{00000000-0005-0000-0000-0000181F0000}"/>
    <cellStyle name="Normal 31 3 2 5 2 4" xfId="3502" xr:uid="{00000000-0005-0000-0000-0000191F0000}"/>
    <cellStyle name="Normal 31 3 2 5 2 4 2" xfId="7358" xr:uid="{00000000-0005-0000-0000-00001A1F0000}"/>
    <cellStyle name="Normal 31 3 2 5 2 4 3" xfId="9808" xr:uid="{00000000-0005-0000-0000-00001B1F0000}"/>
    <cellStyle name="Normal 31 3 2 5 2 5" xfId="4910" xr:uid="{00000000-0005-0000-0000-00001C1F0000}"/>
    <cellStyle name="Normal 31 3 2 5 2 6" xfId="8565" xr:uid="{00000000-0005-0000-0000-00001D1F0000}"/>
    <cellStyle name="Normal 31 3 2 5 3" xfId="1354" xr:uid="{00000000-0005-0000-0000-00001E1F0000}"/>
    <cellStyle name="Normal 31 3 2 5 3 2" xfId="2580" xr:uid="{00000000-0005-0000-0000-00001F1F0000}"/>
    <cellStyle name="Normal 31 3 2 5 3 2 2" xfId="6440" xr:uid="{00000000-0005-0000-0000-0000201F0000}"/>
    <cellStyle name="Normal 31 3 2 5 3 2 3" xfId="11392" xr:uid="{00000000-0005-0000-0000-0000211F0000}"/>
    <cellStyle name="Normal 31 3 2 5 3 3" xfId="3808" xr:uid="{00000000-0005-0000-0000-0000221F0000}"/>
    <cellStyle name="Normal 31 3 2 5 3 3 2" xfId="7664" xr:uid="{00000000-0005-0000-0000-0000231F0000}"/>
    <cellStyle name="Normal 31 3 2 5 3 3 3" xfId="10150" xr:uid="{00000000-0005-0000-0000-0000241F0000}"/>
    <cellStyle name="Normal 31 3 2 5 3 4" xfId="5216" xr:uid="{00000000-0005-0000-0000-0000251F0000}"/>
    <cellStyle name="Normal 31 3 2 5 3 5" xfId="8908" xr:uid="{00000000-0005-0000-0000-0000261F0000}"/>
    <cellStyle name="Normal 31 3 2 5 4" xfId="1968" xr:uid="{00000000-0005-0000-0000-0000271F0000}"/>
    <cellStyle name="Normal 31 3 2 5 4 2" xfId="5828" xr:uid="{00000000-0005-0000-0000-0000281F0000}"/>
    <cellStyle name="Normal 31 3 2 5 4 3" xfId="10762" xr:uid="{00000000-0005-0000-0000-0000291F0000}"/>
    <cellStyle name="Normal 31 3 2 5 5" xfId="3195" xr:uid="{00000000-0005-0000-0000-00002A1F0000}"/>
    <cellStyle name="Normal 31 3 2 5 5 2" xfId="7052" xr:uid="{00000000-0005-0000-0000-00002B1F0000}"/>
    <cellStyle name="Normal 31 3 2 5 5 3" xfId="11968" xr:uid="{00000000-0005-0000-0000-00002C1F0000}"/>
    <cellStyle name="Normal 31 3 2 5 6" xfId="4604" xr:uid="{00000000-0005-0000-0000-00002D1F0000}"/>
    <cellStyle name="Normal 31 3 2 5 6 2" xfId="9520" xr:uid="{00000000-0005-0000-0000-00002E1F0000}"/>
    <cellStyle name="Normal 31 3 2 5 7" xfId="8277" xr:uid="{00000000-0005-0000-0000-00002F1F0000}"/>
    <cellStyle name="Normal 31 3 2 6" xfId="606" xr:uid="{00000000-0005-0000-0000-0000301F0000}"/>
    <cellStyle name="Normal 31 3 2 6 2" xfId="956" xr:uid="{00000000-0005-0000-0000-0000311F0000}"/>
    <cellStyle name="Normal 31 3 2 6 2 2" xfId="1570" xr:uid="{00000000-0005-0000-0000-0000321F0000}"/>
    <cellStyle name="Normal 31 3 2 6 2 2 2" xfId="2796" xr:uid="{00000000-0005-0000-0000-0000331F0000}"/>
    <cellStyle name="Normal 31 3 2 6 2 2 2 2" xfId="6656" xr:uid="{00000000-0005-0000-0000-0000341F0000}"/>
    <cellStyle name="Normal 31 3 2 6 2 2 2 3" xfId="11608" xr:uid="{00000000-0005-0000-0000-0000351F0000}"/>
    <cellStyle name="Normal 31 3 2 6 2 2 3" xfId="4024" xr:uid="{00000000-0005-0000-0000-0000361F0000}"/>
    <cellStyle name="Normal 31 3 2 6 2 2 3 2" xfId="7880" xr:uid="{00000000-0005-0000-0000-0000371F0000}"/>
    <cellStyle name="Normal 31 3 2 6 2 2 3 3" xfId="10366" xr:uid="{00000000-0005-0000-0000-0000381F0000}"/>
    <cellStyle name="Normal 31 3 2 6 2 2 4" xfId="5432" xr:uid="{00000000-0005-0000-0000-0000391F0000}"/>
    <cellStyle name="Normal 31 3 2 6 2 2 5" xfId="9124" xr:uid="{00000000-0005-0000-0000-00003A1F0000}"/>
    <cellStyle name="Normal 31 3 2 6 2 3" xfId="2184" xr:uid="{00000000-0005-0000-0000-00003B1F0000}"/>
    <cellStyle name="Normal 31 3 2 6 2 3 2" xfId="6044" xr:uid="{00000000-0005-0000-0000-00003C1F0000}"/>
    <cellStyle name="Normal 31 3 2 6 2 3 3" xfId="10960" xr:uid="{00000000-0005-0000-0000-00003D1F0000}"/>
    <cellStyle name="Normal 31 3 2 6 2 4" xfId="3412" xr:uid="{00000000-0005-0000-0000-00003E1F0000}"/>
    <cellStyle name="Normal 31 3 2 6 2 4 2" xfId="7268" xr:uid="{00000000-0005-0000-0000-00003F1F0000}"/>
    <cellStyle name="Normal 31 3 2 6 2 4 3" xfId="9718" xr:uid="{00000000-0005-0000-0000-0000401F0000}"/>
    <cellStyle name="Normal 31 3 2 6 2 5" xfId="4820" xr:uid="{00000000-0005-0000-0000-0000411F0000}"/>
    <cellStyle name="Normal 31 3 2 6 2 6" xfId="8475" xr:uid="{00000000-0005-0000-0000-0000421F0000}"/>
    <cellStyle name="Normal 31 3 2 6 3" xfId="1264" xr:uid="{00000000-0005-0000-0000-0000431F0000}"/>
    <cellStyle name="Normal 31 3 2 6 3 2" xfId="2490" xr:uid="{00000000-0005-0000-0000-0000441F0000}"/>
    <cellStyle name="Normal 31 3 2 6 3 2 2" xfId="6350" xr:uid="{00000000-0005-0000-0000-0000451F0000}"/>
    <cellStyle name="Normal 31 3 2 6 3 2 3" xfId="11302" xr:uid="{00000000-0005-0000-0000-0000461F0000}"/>
    <cellStyle name="Normal 31 3 2 6 3 3" xfId="3718" xr:uid="{00000000-0005-0000-0000-0000471F0000}"/>
    <cellStyle name="Normal 31 3 2 6 3 3 2" xfId="7574" xr:uid="{00000000-0005-0000-0000-0000481F0000}"/>
    <cellStyle name="Normal 31 3 2 6 3 3 3" xfId="10060" xr:uid="{00000000-0005-0000-0000-0000491F0000}"/>
    <cellStyle name="Normal 31 3 2 6 3 4" xfId="5126" xr:uid="{00000000-0005-0000-0000-00004A1F0000}"/>
    <cellStyle name="Normal 31 3 2 6 3 5" xfId="8818" xr:uid="{00000000-0005-0000-0000-00004B1F0000}"/>
    <cellStyle name="Normal 31 3 2 6 4" xfId="1878" xr:uid="{00000000-0005-0000-0000-00004C1F0000}"/>
    <cellStyle name="Normal 31 3 2 6 4 2" xfId="5738" xr:uid="{00000000-0005-0000-0000-00004D1F0000}"/>
    <cellStyle name="Normal 31 3 2 6 4 3" xfId="10672" xr:uid="{00000000-0005-0000-0000-00004E1F0000}"/>
    <cellStyle name="Normal 31 3 2 6 5" xfId="3105" xr:uid="{00000000-0005-0000-0000-00004F1F0000}"/>
    <cellStyle name="Normal 31 3 2 6 5 2" xfId="6962" xr:uid="{00000000-0005-0000-0000-0000501F0000}"/>
    <cellStyle name="Normal 31 3 2 6 5 3" xfId="11878" xr:uid="{00000000-0005-0000-0000-0000511F0000}"/>
    <cellStyle name="Normal 31 3 2 6 6" xfId="4514" xr:uid="{00000000-0005-0000-0000-0000521F0000}"/>
    <cellStyle name="Normal 31 3 2 6 6 2" xfId="9430" xr:uid="{00000000-0005-0000-0000-0000531F0000}"/>
    <cellStyle name="Normal 31 3 2 6 7" xfId="8187" xr:uid="{00000000-0005-0000-0000-0000541F0000}"/>
    <cellStyle name="Normal 31 3 2 7" xfId="492" xr:uid="{00000000-0005-0000-0000-0000551F0000}"/>
    <cellStyle name="Normal 31 3 2 7 2" xfId="842" xr:uid="{00000000-0005-0000-0000-0000561F0000}"/>
    <cellStyle name="Normal 31 3 2 7 2 2" xfId="1480" xr:uid="{00000000-0005-0000-0000-0000571F0000}"/>
    <cellStyle name="Normal 31 3 2 7 2 2 2" xfId="2706" xr:uid="{00000000-0005-0000-0000-0000581F0000}"/>
    <cellStyle name="Normal 31 3 2 7 2 2 2 2" xfId="6566" xr:uid="{00000000-0005-0000-0000-0000591F0000}"/>
    <cellStyle name="Normal 31 3 2 7 2 2 2 3" xfId="11518" xr:uid="{00000000-0005-0000-0000-00005A1F0000}"/>
    <cellStyle name="Normal 31 3 2 7 2 2 3" xfId="3934" xr:uid="{00000000-0005-0000-0000-00005B1F0000}"/>
    <cellStyle name="Normal 31 3 2 7 2 2 3 2" xfId="7790" xr:uid="{00000000-0005-0000-0000-00005C1F0000}"/>
    <cellStyle name="Normal 31 3 2 7 2 2 3 3" xfId="10276" xr:uid="{00000000-0005-0000-0000-00005D1F0000}"/>
    <cellStyle name="Normal 31 3 2 7 2 2 4" xfId="5342" xr:uid="{00000000-0005-0000-0000-00005E1F0000}"/>
    <cellStyle name="Normal 31 3 2 7 2 2 5" xfId="9034" xr:uid="{00000000-0005-0000-0000-00005F1F0000}"/>
    <cellStyle name="Normal 31 3 2 7 2 3" xfId="2094" xr:uid="{00000000-0005-0000-0000-0000601F0000}"/>
    <cellStyle name="Normal 31 3 2 7 2 3 2" xfId="5954" xr:uid="{00000000-0005-0000-0000-0000611F0000}"/>
    <cellStyle name="Normal 31 3 2 7 2 3 3" xfId="10870" xr:uid="{00000000-0005-0000-0000-0000621F0000}"/>
    <cellStyle name="Normal 31 3 2 7 2 4" xfId="3322" xr:uid="{00000000-0005-0000-0000-0000631F0000}"/>
    <cellStyle name="Normal 31 3 2 7 2 4 2" xfId="7178" xr:uid="{00000000-0005-0000-0000-0000641F0000}"/>
    <cellStyle name="Normal 31 3 2 7 2 4 3" xfId="9628" xr:uid="{00000000-0005-0000-0000-0000651F0000}"/>
    <cellStyle name="Normal 31 3 2 7 2 5" xfId="4730" xr:uid="{00000000-0005-0000-0000-0000661F0000}"/>
    <cellStyle name="Normal 31 3 2 7 2 6" xfId="8385" xr:uid="{00000000-0005-0000-0000-0000671F0000}"/>
    <cellStyle name="Normal 31 3 2 7 3" xfId="1174" xr:uid="{00000000-0005-0000-0000-0000681F0000}"/>
    <cellStyle name="Normal 31 3 2 7 3 2" xfId="2400" xr:uid="{00000000-0005-0000-0000-0000691F0000}"/>
    <cellStyle name="Normal 31 3 2 7 3 2 2" xfId="6260" xr:uid="{00000000-0005-0000-0000-00006A1F0000}"/>
    <cellStyle name="Normal 31 3 2 7 3 2 3" xfId="11212" xr:uid="{00000000-0005-0000-0000-00006B1F0000}"/>
    <cellStyle name="Normal 31 3 2 7 3 3" xfId="3628" xr:uid="{00000000-0005-0000-0000-00006C1F0000}"/>
    <cellStyle name="Normal 31 3 2 7 3 3 2" xfId="7484" xr:uid="{00000000-0005-0000-0000-00006D1F0000}"/>
    <cellStyle name="Normal 31 3 2 7 3 3 3" xfId="9970" xr:uid="{00000000-0005-0000-0000-00006E1F0000}"/>
    <cellStyle name="Normal 31 3 2 7 3 4" xfId="5036" xr:uid="{00000000-0005-0000-0000-00006F1F0000}"/>
    <cellStyle name="Normal 31 3 2 7 3 5" xfId="8728" xr:uid="{00000000-0005-0000-0000-0000701F0000}"/>
    <cellStyle name="Normal 31 3 2 7 4" xfId="1788" xr:uid="{00000000-0005-0000-0000-0000711F0000}"/>
    <cellStyle name="Normal 31 3 2 7 4 2" xfId="5648" xr:uid="{00000000-0005-0000-0000-0000721F0000}"/>
    <cellStyle name="Normal 31 3 2 7 4 3" xfId="10582" xr:uid="{00000000-0005-0000-0000-0000731F0000}"/>
    <cellStyle name="Normal 31 3 2 7 5" xfId="3015" xr:uid="{00000000-0005-0000-0000-0000741F0000}"/>
    <cellStyle name="Normal 31 3 2 7 5 2" xfId="6872" xr:uid="{00000000-0005-0000-0000-0000751F0000}"/>
    <cellStyle name="Normal 31 3 2 7 5 3" xfId="12058" xr:uid="{00000000-0005-0000-0000-0000761F0000}"/>
    <cellStyle name="Normal 31 3 2 7 6" xfId="4424" xr:uid="{00000000-0005-0000-0000-0000771F0000}"/>
    <cellStyle name="Normal 31 3 2 7 6 2" xfId="9340" xr:uid="{00000000-0005-0000-0000-0000781F0000}"/>
    <cellStyle name="Normal 31 3 2 7 7" xfId="8097" xr:uid="{00000000-0005-0000-0000-0000791F0000}"/>
    <cellStyle name="Normal 31 3 2 8" xfId="804" xr:uid="{00000000-0005-0000-0000-00007A1F0000}"/>
    <cellStyle name="Normal 31 3 2 8 2" xfId="1444" xr:uid="{00000000-0005-0000-0000-00007B1F0000}"/>
    <cellStyle name="Normal 31 3 2 8 2 2" xfId="2670" xr:uid="{00000000-0005-0000-0000-00007C1F0000}"/>
    <cellStyle name="Normal 31 3 2 8 2 2 2" xfId="6530" xr:uid="{00000000-0005-0000-0000-00007D1F0000}"/>
    <cellStyle name="Normal 31 3 2 8 2 2 3" xfId="11482" xr:uid="{00000000-0005-0000-0000-00007E1F0000}"/>
    <cellStyle name="Normal 31 3 2 8 2 3" xfId="3898" xr:uid="{00000000-0005-0000-0000-00007F1F0000}"/>
    <cellStyle name="Normal 31 3 2 8 2 3 2" xfId="7754" xr:uid="{00000000-0005-0000-0000-0000801F0000}"/>
    <cellStyle name="Normal 31 3 2 8 2 3 3" xfId="10240" xr:uid="{00000000-0005-0000-0000-0000811F0000}"/>
    <cellStyle name="Normal 31 3 2 8 2 4" xfId="5306" xr:uid="{00000000-0005-0000-0000-0000821F0000}"/>
    <cellStyle name="Normal 31 3 2 8 2 5" xfId="8998" xr:uid="{00000000-0005-0000-0000-0000831F0000}"/>
    <cellStyle name="Normal 31 3 2 8 3" xfId="2058" xr:uid="{00000000-0005-0000-0000-0000841F0000}"/>
    <cellStyle name="Normal 31 3 2 8 3 2" xfId="5918" xr:uid="{00000000-0005-0000-0000-0000851F0000}"/>
    <cellStyle name="Normal 31 3 2 8 3 3" xfId="10852" xr:uid="{00000000-0005-0000-0000-0000861F0000}"/>
    <cellStyle name="Normal 31 3 2 8 4" xfId="3286" xr:uid="{00000000-0005-0000-0000-0000871F0000}"/>
    <cellStyle name="Normal 31 3 2 8 4 2" xfId="7142" xr:uid="{00000000-0005-0000-0000-0000881F0000}"/>
    <cellStyle name="Normal 31 3 2 8 4 3" xfId="9610" xr:uid="{00000000-0005-0000-0000-0000891F0000}"/>
    <cellStyle name="Normal 31 3 2 8 5" xfId="4694" xr:uid="{00000000-0005-0000-0000-00008A1F0000}"/>
    <cellStyle name="Normal 31 3 2 8 6" xfId="8367" xr:uid="{00000000-0005-0000-0000-00008B1F0000}"/>
    <cellStyle name="Normal 31 3 2 9" xfId="1138" xr:uid="{00000000-0005-0000-0000-00008C1F0000}"/>
    <cellStyle name="Normal 31 3 2 9 2" xfId="2364" xr:uid="{00000000-0005-0000-0000-00008D1F0000}"/>
    <cellStyle name="Normal 31 3 2 9 2 2" xfId="6224" xr:uid="{00000000-0005-0000-0000-00008E1F0000}"/>
    <cellStyle name="Normal 31 3 2 9 2 3" xfId="11176" xr:uid="{00000000-0005-0000-0000-00008F1F0000}"/>
    <cellStyle name="Normal 31 3 2 9 3" xfId="3592" xr:uid="{00000000-0005-0000-0000-0000901F0000}"/>
    <cellStyle name="Normal 31 3 2 9 3 2" xfId="7448" xr:uid="{00000000-0005-0000-0000-0000911F0000}"/>
    <cellStyle name="Normal 31 3 2 9 3 3" xfId="9934" xr:uid="{00000000-0005-0000-0000-0000921F0000}"/>
    <cellStyle name="Normal 31 3 2 9 4" xfId="5000" xr:uid="{00000000-0005-0000-0000-0000931F0000}"/>
    <cellStyle name="Normal 31 3 2 9 5" xfId="8692" xr:uid="{00000000-0005-0000-0000-0000941F0000}"/>
    <cellStyle name="Normal 31 3 3" xfId="473" xr:uid="{00000000-0005-0000-0000-0000951F0000}"/>
    <cellStyle name="Normal 31 3 3 10" xfId="4405" xr:uid="{00000000-0005-0000-0000-0000961F0000}"/>
    <cellStyle name="Normal 31 3 3 10 2" xfId="9321" xr:uid="{00000000-0005-0000-0000-0000971F0000}"/>
    <cellStyle name="Normal 31 3 3 11" xfId="8078" xr:uid="{00000000-0005-0000-0000-0000981F0000}"/>
    <cellStyle name="Normal 31 3 3 2" xfId="586" xr:uid="{00000000-0005-0000-0000-0000991F0000}"/>
    <cellStyle name="Normal 31 3 3 2 2" xfId="767" xr:uid="{00000000-0005-0000-0000-00009A1F0000}"/>
    <cellStyle name="Normal 31 3 3 2 2 2" xfId="1117" xr:uid="{00000000-0005-0000-0000-00009B1F0000}"/>
    <cellStyle name="Normal 31 3 3 2 2 2 2" xfId="1731" xr:uid="{00000000-0005-0000-0000-00009C1F0000}"/>
    <cellStyle name="Normal 31 3 3 2 2 2 2 2" xfId="2957" xr:uid="{00000000-0005-0000-0000-00009D1F0000}"/>
    <cellStyle name="Normal 31 3 3 2 2 2 2 2 2" xfId="6817" xr:uid="{00000000-0005-0000-0000-00009E1F0000}"/>
    <cellStyle name="Normal 31 3 3 2 2 2 2 2 3" xfId="11769" xr:uid="{00000000-0005-0000-0000-00009F1F0000}"/>
    <cellStyle name="Normal 31 3 3 2 2 2 2 3" xfId="4185" xr:uid="{00000000-0005-0000-0000-0000A01F0000}"/>
    <cellStyle name="Normal 31 3 3 2 2 2 2 3 2" xfId="8041" xr:uid="{00000000-0005-0000-0000-0000A11F0000}"/>
    <cellStyle name="Normal 31 3 3 2 2 2 2 3 3" xfId="10527" xr:uid="{00000000-0005-0000-0000-0000A21F0000}"/>
    <cellStyle name="Normal 31 3 3 2 2 2 2 4" xfId="5593" xr:uid="{00000000-0005-0000-0000-0000A31F0000}"/>
    <cellStyle name="Normal 31 3 3 2 2 2 2 5" xfId="9285" xr:uid="{00000000-0005-0000-0000-0000A41F0000}"/>
    <cellStyle name="Normal 31 3 3 2 2 2 3" xfId="2345" xr:uid="{00000000-0005-0000-0000-0000A51F0000}"/>
    <cellStyle name="Normal 31 3 3 2 2 2 3 2" xfId="6205" xr:uid="{00000000-0005-0000-0000-0000A61F0000}"/>
    <cellStyle name="Normal 31 3 3 2 2 2 3 3" xfId="11121" xr:uid="{00000000-0005-0000-0000-0000A71F0000}"/>
    <cellStyle name="Normal 31 3 3 2 2 2 4" xfId="3573" xr:uid="{00000000-0005-0000-0000-0000A81F0000}"/>
    <cellStyle name="Normal 31 3 3 2 2 2 4 2" xfId="7429" xr:uid="{00000000-0005-0000-0000-0000A91F0000}"/>
    <cellStyle name="Normal 31 3 3 2 2 2 4 3" xfId="9879" xr:uid="{00000000-0005-0000-0000-0000AA1F0000}"/>
    <cellStyle name="Normal 31 3 3 2 2 2 5" xfId="4981" xr:uid="{00000000-0005-0000-0000-0000AB1F0000}"/>
    <cellStyle name="Normal 31 3 3 2 2 2 6" xfId="8636" xr:uid="{00000000-0005-0000-0000-0000AC1F0000}"/>
    <cellStyle name="Normal 31 3 3 2 2 3" xfId="1425" xr:uid="{00000000-0005-0000-0000-0000AD1F0000}"/>
    <cellStyle name="Normal 31 3 3 2 2 3 2" xfId="2651" xr:uid="{00000000-0005-0000-0000-0000AE1F0000}"/>
    <cellStyle name="Normal 31 3 3 2 2 3 2 2" xfId="6511" xr:uid="{00000000-0005-0000-0000-0000AF1F0000}"/>
    <cellStyle name="Normal 31 3 3 2 2 3 2 3" xfId="11463" xr:uid="{00000000-0005-0000-0000-0000B01F0000}"/>
    <cellStyle name="Normal 31 3 3 2 2 3 3" xfId="3879" xr:uid="{00000000-0005-0000-0000-0000B11F0000}"/>
    <cellStyle name="Normal 31 3 3 2 2 3 3 2" xfId="7735" xr:uid="{00000000-0005-0000-0000-0000B21F0000}"/>
    <cellStyle name="Normal 31 3 3 2 2 3 3 3" xfId="10221" xr:uid="{00000000-0005-0000-0000-0000B31F0000}"/>
    <cellStyle name="Normal 31 3 3 2 2 3 4" xfId="5287" xr:uid="{00000000-0005-0000-0000-0000B41F0000}"/>
    <cellStyle name="Normal 31 3 3 2 2 3 5" xfId="8979" xr:uid="{00000000-0005-0000-0000-0000B51F0000}"/>
    <cellStyle name="Normal 31 3 3 2 2 4" xfId="2039" xr:uid="{00000000-0005-0000-0000-0000B61F0000}"/>
    <cellStyle name="Normal 31 3 3 2 2 4 2" xfId="5899" xr:uid="{00000000-0005-0000-0000-0000B71F0000}"/>
    <cellStyle name="Normal 31 3 3 2 2 4 3" xfId="10833" xr:uid="{00000000-0005-0000-0000-0000B81F0000}"/>
    <cellStyle name="Normal 31 3 3 2 2 5" xfId="3266" xr:uid="{00000000-0005-0000-0000-0000B91F0000}"/>
    <cellStyle name="Normal 31 3 3 2 2 5 2" xfId="7123" xr:uid="{00000000-0005-0000-0000-0000BA1F0000}"/>
    <cellStyle name="Normal 31 3 3 2 2 5 3" xfId="12039" xr:uid="{00000000-0005-0000-0000-0000BB1F0000}"/>
    <cellStyle name="Normal 31 3 3 2 2 6" xfId="4675" xr:uid="{00000000-0005-0000-0000-0000BC1F0000}"/>
    <cellStyle name="Normal 31 3 3 2 2 6 2" xfId="9591" xr:uid="{00000000-0005-0000-0000-0000BD1F0000}"/>
    <cellStyle name="Normal 31 3 3 2 2 7" xfId="8348" xr:uid="{00000000-0005-0000-0000-0000BE1F0000}"/>
    <cellStyle name="Normal 31 3 3 2 3" xfId="677" xr:uid="{00000000-0005-0000-0000-0000BF1F0000}"/>
    <cellStyle name="Normal 31 3 3 2 3 2" xfId="1027" xr:uid="{00000000-0005-0000-0000-0000C01F0000}"/>
    <cellStyle name="Normal 31 3 3 2 3 2 2" xfId="1641" xr:uid="{00000000-0005-0000-0000-0000C11F0000}"/>
    <cellStyle name="Normal 31 3 3 2 3 2 2 2" xfId="2867" xr:uid="{00000000-0005-0000-0000-0000C21F0000}"/>
    <cellStyle name="Normal 31 3 3 2 3 2 2 2 2" xfId="6727" xr:uid="{00000000-0005-0000-0000-0000C31F0000}"/>
    <cellStyle name="Normal 31 3 3 2 3 2 2 2 3" xfId="11679" xr:uid="{00000000-0005-0000-0000-0000C41F0000}"/>
    <cellStyle name="Normal 31 3 3 2 3 2 2 3" xfId="4095" xr:uid="{00000000-0005-0000-0000-0000C51F0000}"/>
    <cellStyle name="Normal 31 3 3 2 3 2 2 3 2" xfId="7951" xr:uid="{00000000-0005-0000-0000-0000C61F0000}"/>
    <cellStyle name="Normal 31 3 3 2 3 2 2 3 3" xfId="10437" xr:uid="{00000000-0005-0000-0000-0000C71F0000}"/>
    <cellStyle name="Normal 31 3 3 2 3 2 2 4" xfId="5503" xr:uid="{00000000-0005-0000-0000-0000C81F0000}"/>
    <cellStyle name="Normal 31 3 3 2 3 2 2 5" xfId="9195" xr:uid="{00000000-0005-0000-0000-0000C91F0000}"/>
    <cellStyle name="Normal 31 3 3 2 3 2 3" xfId="2255" xr:uid="{00000000-0005-0000-0000-0000CA1F0000}"/>
    <cellStyle name="Normal 31 3 3 2 3 2 3 2" xfId="6115" xr:uid="{00000000-0005-0000-0000-0000CB1F0000}"/>
    <cellStyle name="Normal 31 3 3 2 3 2 3 3" xfId="11031" xr:uid="{00000000-0005-0000-0000-0000CC1F0000}"/>
    <cellStyle name="Normal 31 3 3 2 3 2 4" xfId="3483" xr:uid="{00000000-0005-0000-0000-0000CD1F0000}"/>
    <cellStyle name="Normal 31 3 3 2 3 2 4 2" xfId="7339" xr:uid="{00000000-0005-0000-0000-0000CE1F0000}"/>
    <cellStyle name="Normal 31 3 3 2 3 2 4 3" xfId="9789" xr:uid="{00000000-0005-0000-0000-0000CF1F0000}"/>
    <cellStyle name="Normal 31 3 3 2 3 2 5" xfId="4891" xr:uid="{00000000-0005-0000-0000-0000D01F0000}"/>
    <cellStyle name="Normal 31 3 3 2 3 2 6" xfId="8546" xr:uid="{00000000-0005-0000-0000-0000D11F0000}"/>
    <cellStyle name="Normal 31 3 3 2 3 3" xfId="1335" xr:uid="{00000000-0005-0000-0000-0000D21F0000}"/>
    <cellStyle name="Normal 31 3 3 2 3 3 2" xfId="2561" xr:uid="{00000000-0005-0000-0000-0000D31F0000}"/>
    <cellStyle name="Normal 31 3 3 2 3 3 2 2" xfId="6421" xr:uid="{00000000-0005-0000-0000-0000D41F0000}"/>
    <cellStyle name="Normal 31 3 3 2 3 3 2 3" xfId="11373" xr:uid="{00000000-0005-0000-0000-0000D51F0000}"/>
    <cellStyle name="Normal 31 3 3 2 3 3 3" xfId="3789" xr:uid="{00000000-0005-0000-0000-0000D61F0000}"/>
    <cellStyle name="Normal 31 3 3 2 3 3 3 2" xfId="7645" xr:uid="{00000000-0005-0000-0000-0000D71F0000}"/>
    <cellStyle name="Normal 31 3 3 2 3 3 3 3" xfId="10131" xr:uid="{00000000-0005-0000-0000-0000D81F0000}"/>
    <cellStyle name="Normal 31 3 3 2 3 3 4" xfId="5197" xr:uid="{00000000-0005-0000-0000-0000D91F0000}"/>
    <cellStyle name="Normal 31 3 3 2 3 3 5" xfId="8889" xr:uid="{00000000-0005-0000-0000-0000DA1F0000}"/>
    <cellStyle name="Normal 31 3 3 2 3 4" xfId="1949" xr:uid="{00000000-0005-0000-0000-0000DB1F0000}"/>
    <cellStyle name="Normal 31 3 3 2 3 4 2" xfId="5809" xr:uid="{00000000-0005-0000-0000-0000DC1F0000}"/>
    <cellStyle name="Normal 31 3 3 2 3 4 3" xfId="10743" xr:uid="{00000000-0005-0000-0000-0000DD1F0000}"/>
    <cellStyle name="Normal 31 3 3 2 3 5" xfId="3176" xr:uid="{00000000-0005-0000-0000-0000DE1F0000}"/>
    <cellStyle name="Normal 31 3 3 2 3 5 2" xfId="7033" xr:uid="{00000000-0005-0000-0000-0000DF1F0000}"/>
    <cellStyle name="Normal 31 3 3 2 3 5 3" xfId="11949" xr:uid="{00000000-0005-0000-0000-0000E01F0000}"/>
    <cellStyle name="Normal 31 3 3 2 3 6" xfId="4585" xr:uid="{00000000-0005-0000-0000-0000E11F0000}"/>
    <cellStyle name="Normal 31 3 3 2 3 6 2" xfId="9501" xr:uid="{00000000-0005-0000-0000-0000E21F0000}"/>
    <cellStyle name="Normal 31 3 3 2 3 7" xfId="8258" xr:uid="{00000000-0005-0000-0000-0000E31F0000}"/>
    <cellStyle name="Normal 31 3 3 2 4" xfId="936" xr:uid="{00000000-0005-0000-0000-0000E41F0000}"/>
    <cellStyle name="Normal 31 3 3 2 4 2" xfId="1551" xr:uid="{00000000-0005-0000-0000-0000E51F0000}"/>
    <cellStyle name="Normal 31 3 3 2 4 2 2" xfId="2777" xr:uid="{00000000-0005-0000-0000-0000E61F0000}"/>
    <cellStyle name="Normal 31 3 3 2 4 2 2 2" xfId="6637" xr:uid="{00000000-0005-0000-0000-0000E71F0000}"/>
    <cellStyle name="Normal 31 3 3 2 4 2 2 3" xfId="11589" xr:uid="{00000000-0005-0000-0000-0000E81F0000}"/>
    <cellStyle name="Normal 31 3 3 2 4 2 3" xfId="4005" xr:uid="{00000000-0005-0000-0000-0000E91F0000}"/>
    <cellStyle name="Normal 31 3 3 2 4 2 3 2" xfId="7861" xr:uid="{00000000-0005-0000-0000-0000EA1F0000}"/>
    <cellStyle name="Normal 31 3 3 2 4 2 3 3" xfId="10347" xr:uid="{00000000-0005-0000-0000-0000EB1F0000}"/>
    <cellStyle name="Normal 31 3 3 2 4 2 4" xfId="5413" xr:uid="{00000000-0005-0000-0000-0000EC1F0000}"/>
    <cellStyle name="Normal 31 3 3 2 4 2 5" xfId="9105" xr:uid="{00000000-0005-0000-0000-0000ED1F0000}"/>
    <cellStyle name="Normal 31 3 3 2 4 3" xfId="2165" xr:uid="{00000000-0005-0000-0000-0000EE1F0000}"/>
    <cellStyle name="Normal 31 3 3 2 4 3 2" xfId="6025" xr:uid="{00000000-0005-0000-0000-0000EF1F0000}"/>
    <cellStyle name="Normal 31 3 3 2 4 3 3" xfId="10941" xr:uid="{00000000-0005-0000-0000-0000F01F0000}"/>
    <cellStyle name="Normal 31 3 3 2 4 4" xfId="3393" xr:uid="{00000000-0005-0000-0000-0000F11F0000}"/>
    <cellStyle name="Normal 31 3 3 2 4 4 2" xfId="7249" xr:uid="{00000000-0005-0000-0000-0000F21F0000}"/>
    <cellStyle name="Normal 31 3 3 2 4 4 3" xfId="9699" xr:uid="{00000000-0005-0000-0000-0000F31F0000}"/>
    <cellStyle name="Normal 31 3 3 2 4 5" xfId="4801" xr:uid="{00000000-0005-0000-0000-0000F41F0000}"/>
    <cellStyle name="Normal 31 3 3 2 4 6" xfId="8456" xr:uid="{00000000-0005-0000-0000-0000F51F0000}"/>
    <cellStyle name="Normal 31 3 3 2 5" xfId="1245" xr:uid="{00000000-0005-0000-0000-0000F61F0000}"/>
    <cellStyle name="Normal 31 3 3 2 5 2" xfId="2471" xr:uid="{00000000-0005-0000-0000-0000F71F0000}"/>
    <cellStyle name="Normal 31 3 3 2 5 2 2" xfId="6331" xr:uid="{00000000-0005-0000-0000-0000F81F0000}"/>
    <cellStyle name="Normal 31 3 3 2 5 2 3" xfId="11283" xr:uid="{00000000-0005-0000-0000-0000F91F0000}"/>
    <cellStyle name="Normal 31 3 3 2 5 3" xfId="3699" xr:uid="{00000000-0005-0000-0000-0000FA1F0000}"/>
    <cellStyle name="Normal 31 3 3 2 5 3 2" xfId="7555" xr:uid="{00000000-0005-0000-0000-0000FB1F0000}"/>
    <cellStyle name="Normal 31 3 3 2 5 3 3" xfId="10041" xr:uid="{00000000-0005-0000-0000-0000FC1F0000}"/>
    <cellStyle name="Normal 31 3 3 2 5 4" xfId="5107" xr:uid="{00000000-0005-0000-0000-0000FD1F0000}"/>
    <cellStyle name="Normal 31 3 3 2 5 5" xfId="8799" xr:uid="{00000000-0005-0000-0000-0000FE1F0000}"/>
    <cellStyle name="Normal 31 3 3 2 6" xfId="1859" xr:uid="{00000000-0005-0000-0000-0000FF1F0000}"/>
    <cellStyle name="Normal 31 3 3 2 6 2" xfId="5719" xr:uid="{00000000-0005-0000-0000-000000200000}"/>
    <cellStyle name="Normal 31 3 3 2 6 3" xfId="10653" xr:uid="{00000000-0005-0000-0000-000001200000}"/>
    <cellStyle name="Normal 31 3 3 2 7" xfId="3086" xr:uid="{00000000-0005-0000-0000-000002200000}"/>
    <cellStyle name="Normal 31 3 3 2 7 2" xfId="6943" xr:uid="{00000000-0005-0000-0000-000003200000}"/>
    <cellStyle name="Normal 31 3 3 2 7 3" xfId="11859" xr:uid="{00000000-0005-0000-0000-000004200000}"/>
    <cellStyle name="Normal 31 3 3 2 8" xfId="4495" xr:uid="{00000000-0005-0000-0000-000005200000}"/>
    <cellStyle name="Normal 31 3 3 2 8 2" xfId="9411" xr:uid="{00000000-0005-0000-0000-000006200000}"/>
    <cellStyle name="Normal 31 3 3 2 9" xfId="8168" xr:uid="{00000000-0005-0000-0000-000007200000}"/>
    <cellStyle name="Normal 31 3 3 3" xfId="731" xr:uid="{00000000-0005-0000-0000-000008200000}"/>
    <cellStyle name="Normal 31 3 3 3 2" xfId="1081" xr:uid="{00000000-0005-0000-0000-000009200000}"/>
    <cellStyle name="Normal 31 3 3 3 2 2" xfId="1695" xr:uid="{00000000-0005-0000-0000-00000A200000}"/>
    <cellStyle name="Normal 31 3 3 3 2 2 2" xfId="2921" xr:uid="{00000000-0005-0000-0000-00000B200000}"/>
    <cellStyle name="Normal 31 3 3 3 2 2 2 2" xfId="6781" xr:uid="{00000000-0005-0000-0000-00000C200000}"/>
    <cellStyle name="Normal 31 3 3 3 2 2 2 3" xfId="11733" xr:uid="{00000000-0005-0000-0000-00000D200000}"/>
    <cellStyle name="Normal 31 3 3 3 2 2 3" xfId="4149" xr:uid="{00000000-0005-0000-0000-00000E200000}"/>
    <cellStyle name="Normal 31 3 3 3 2 2 3 2" xfId="8005" xr:uid="{00000000-0005-0000-0000-00000F200000}"/>
    <cellStyle name="Normal 31 3 3 3 2 2 3 3" xfId="10491" xr:uid="{00000000-0005-0000-0000-000010200000}"/>
    <cellStyle name="Normal 31 3 3 3 2 2 4" xfId="5557" xr:uid="{00000000-0005-0000-0000-000011200000}"/>
    <cellStyle name="Normal 31 3 3 3 2 2 5" xfId="9249" xr:uid="{00000000-0005-0000-0000-000012200000}"/>
    <cellStyle name="Normal 31 3 3 3 2 3" xfId="2309" xr:uid="{00000000-0005-0000-0000-000013200000}"/>
    <cellStyle name="Normal 31 3 3 3 2 3 2" xfId="6169" xr:uid="{00000000-0005-0000-0000-000014200000}"/>
    <cellStyle name="Normal 31 3 3 3 2 3 3" xfId="11085" xr:uid="{00000000-0005-0000-0000-000015200000}"/>
    <cellStyle name="Normal 31 3 3 3 2 4" xfId="3537" xr:uid="{00000000-0005-0000-0000-000016200000}"/>
    <cellStyle name="Normal 31 3 3 3 2 4 2" xfId="7393" xr:uid="{00000000-0005-0000-0000-000017200000}"/>
    <cellStyle name="Normal 31 3 3 3 2 4 3" xfId="9843" xr:uid="{00000000-0005-0000-0000-000018200000}"/>
    <cellStyle name="Normal 31 3 3 3 2 5" xfId="4945" xr:uid="{00000000-0005-0000-0000-000019200000}"/>
    <cellStyle name="Normal 31 3 3 3 2 6" xfId="8600" xr:uid="{00000000-0005-0000-0000-00001A200000}"/>
    <cellStyle name="Normal 31 3 3 3 3" xfId="1389" xr:uid="{00000000-0005-0000-0000-00001B200000}"/>
    <cellStyle name="Normal 31 3 3 3 3 2" xfId="2615" xr:uid="{00000000-0005-0000-0000-00001C200000}"/>
    <cellStyle name="Normal 31 3 3 3 3 2 2" xfId="6475" xr:uid="{00000000-0005-0000-0000-00001D200000}"/>
    <cellStyle name="Normal 31 3 3 3 3 2 3" xfId="11427" xr:uid="{00000000-0005-0000-0000-00001E200000}"/>
    <cellStyle name="Normal 31 3 3 3 3 3" xfId="3843" xr:uid="{00000000-0005-0000-0000-00001F200000}"/>
    <cellStyle name="Normal 31 3 3 3 3 3 2" xfId="7699" xr:uid="{00000000-0005-0000-0000-000020200000}"/>
    <cellStyle name="Normal 31 3 3 3 3 3 3" xfId="10185" xr:uid="{00000000-0005-0000-0000-000021200000}"/>
    <cellStyle name="Normal 31 3 3 3 3 4" xfId="5251" xr:uid="{00000000-0005-0000-0000-000022200000}"/>
    <cellStyle name="Normal 31 3 3 3 3 5" xfId="8943" xr:uid="{00000000-0005-0000-0000-000023200000}"/>
    <cellStyle name="Normal 31 3 3 3 4" xfId="2003" xr:uid="{00000000-0005-0000-0000-000024200000}"/>
    <cellStyle name="Normal 31 3 3 3 4 2" xfId="5863" xr:uid="{00000000-0005-0000-0000-000025200000}"/>
    <cellStyle name="Normal 31 3 3 3 4 3" xfId="10797" xr:uid="{00000000-0005-0000-0000-000026200000}"/>
    <cellStyle name="Normal 31 3 3 3 5" xfId="3230" xr:uid="{00000000-0005-0000-0000-000027200000}"/>
    <cellStyle name="Normal 31 3 3 3 5 2" xfId="7087" xr:uid="{00000000-0005-0000-0000-000028200000}"/>
    <cellStyle name="Normal 31 3 3 3 5 3" xfId="12003" xr:uid="{00000000-0005-0000-0000-000029200000}"/>
    <cellStyle name="Normal 31 3 3 3 6" xfId="4639" xr:uid="{00000000-0005-0000-0000-00002A200000}"/>
    <cellStyle name="Normal 31 3 3 3 6 2" xfId="9555" xr:uid="{00000000-0005-0000-0000-00002B200000}"/>
    <cellStyle name="Normal 31 3 3 3 7" xfId="8312" xr:uid="{00000000-0005-0000-0000-00002C200000}"/>
    <cellStyle name="Normal 31 3 3 4" xfId="641" xr:uid="{00000000-0005-0000-0000-00002D200000}"/>
    <cellStyle name="Normal 31 3 3 4 2" xfId="991" xr:uid="{00000000-0005-0000-0000-00002E200000}"/>
    <cellStyle name="Normal 31 3 3 4 2 2" xfId="1605" xr:uid="{00000000-0005-0000-0000-00002F200000}"/>
    <cellStyle name="Normal 31 3 3 4 2 2 2" xfId="2831" xr:uid="{00000000-0005-0000-0000-000030200000}"/>
    <cellStyle name="Normal 31 3 3 4 2 2 2 2" xfId="6691" xr:uid="{00000000-0005-0000-0000-000031200000}"/>
    <cellStyle name="Normal 31 3 3 4 2 2 2 3" xfId="11643" xr:uid="{00000000-0005-0000-0000-000032200000}"/>
    <cellStyle name="Normal 31 3 3 4 2 2 3" xfId="4059" xr:uid="{00000000-0005-0000-0000-000033200000}"/>
    <cellStyle name="Normal 31 3 3 4 2 2 3 2" xfId="7915" xr:uid="{00000000-0005-0000-0000-000034200000}"/>
    <cellStyle name="Normal 31 3 3 4 2 2 3 3" xfId="10401" xr:uid="{00000000-0005-0000-0000-000035200000}"/>
    <cellStyle name="Normal 31 3 3 4 2 2 4" xfId="5467" xr:uid="{00000000-0005-0000-0000-000036200000}"/>
    <cellStyle name="Normal 31 3 3 4 2 2 5" xfId="9159" xr:uid="{00000000-0005-0000-0000-000037200000}"/>
    <cellStyle name="Normal 31 3 3 4 2 3" xfId="2219" xr:uid="{00000000-0005-0000-0000-000038200000}"/>
    <cellStyle name="Normal 31 3 3 4 2 3 2" xfId="6079" xr:uid="{00000000-0005-0000-0000-000039200000}"/>
    <cellStyle name="Normal 31 3 3 4 2 3 3" xfId="10995" xr:uid="{00000000-0005-0000-0000-00003A200000}"/>
    <cellStyle name="Normal 31 3 3 4 2 4" xfId="3447" xr:uid="{00000000-0005-0000-0000-00003B200000}"/>
    <cellStyle name="Normal 31 3 3 4 2 4 2" xfId="7303" xr:uid="{00000000-0005-0000-0000-00003C200000}"/>
    <cellStyle name="Normal 31 3 3 4 2 4 3" xfId="9753" xr:uid="{00000000-0005-0000-0000-00003D200000}"/>
    <cellStyle name="Normal 31 3 3 4 2 5" xfId="4855" xr:uid="{00000000-0005-0000-0000-00003E200000}"/>
    <cellStyle name="Normal 31 3 3 4 2 6" xfId="8510" xr:uid="{00000000-0005-0000-0000-00003F200000}"/>
    <cellStyle name="Normal 31 3 3 4 3" xfId="1299" xr:uid="{00000000-0005-0000-0000-000040200000}"/>
    <cellStyle name="Normal 31 3 3 4 3 2" xfId="2525" xr:uid="{00000000-0005-0000-0000-000041200000}"/>
    <cellStyle name="Normal 31 3 3 4 3 2 2" xfId="6385" xr:uid="{00000000-0005-0000-0000-000042200000}"/>
    <cellStyle name="Normal 31 3 3 4 3 2 3" xfId="11337" xr:uid="{00000000-0005-0000-0000-000043200000}"/>
    <cellStyle name="Normal 31 3 3 4 3 3" xfId="3753" xr:uid="{00000000-0005-0000-0000-000044200000}"/>
    <cellStyle name="Normal 31 3 3 4 3 3 2" xfId="7609" xr:uid="{00000000-0005-0000-0000-000045200000}"/>
    <cellStyle name="Normal 31 3 3 4 3 3 3" xfId="10095" xr:uid="{00000000-0005-0000-0000-000046200000}"/>
    <cellStyle name="Normal 31 3 3 4 3 4" xfId="5161" xr:uid="{00000000-0005-0000-0000-000047200000}"/>
    <cellStyle name="Normal 31 3 3 4 3 5" xfId="8853" xr:uid="{00000000-0005-0000-0000-000048200000}"/>
    <cellStyle name="Normal 31 3 3 4 4" xfId="1913" xr:uid="{00000000-0005-0000-0000-000049200000}"/>
    <cellStyle name="Normal 31 3 3 4 4 2" xfId="5773" xr:uid="{00000000-0005-0000-0000-00004A200000}"/>
    <cellStyle name="Normal 31 3 3 4 4 3" xfId="10707" xr:uid="{00000000-0005-0000-0000-00004B200000}"/>
    <cellStyle name="Normal 31 3 3 4 5" xfId="3140" xr:uid="{00000000-0005-0000-0000-00004C200000}"/>
    <cellStyle name="Normal 31 3 3 4 5 2" xfId="6997" xr:uid="{00000000-0005-0000-0000-00004D200000}"/>
    <cellStyle name="Normal 31 3 3 4 5 3" xfId="11913" xr:uid="{00000000-0005-0000-0000-00004E200000}"/>
    <cellStyle name="Normal 31 3 3 4 6" xfId="4549" xr:uid="{00000000-0005-0000-0000-00004F200000}"/>
    <cellStyle name="Normal 31 3 3 4 6 2" xfId="9465" xr:uid="{00000000-0005-0000-0000-000050200000}"/>
    <cellStyle name="Normal 31 3 3 4 7" xfId="8222" xr:uid="{00000000-0005-0000-0000-000051200000}"/>
    <cellStyle name="Normal 31 3 3 5" xfId="547" xr:uid="{00000000-0005-0000-0000-000052200000}"/>
    <cellStyle name="Normal 31 3 3 5 2" xfId="897" xr:uid="{00000000-0005-0000-0000-000053200000}"/>
    <cellStyle name="Normal 31 3 3 5 2 2" xfId="1515" xr:uid="{00000000-0005-0000-0000-000054200000}"/>
    <cellStyle name="Normal 31 3 3 5 2 2 2" xfId="2741" xr:uid="{00000000-0005-0000-0000-000055200000}"/>
    <cellStyle name="Normal 31 3 3 5 2 2 2 2" xfId="6601" xr:uid="{00000000-0005-0000-0000-000056200000}"/>
    <cellStyle name="Normal 31 3 3 5 2 2 2 3" xfId="11553" xr:uid="{00000000-0005-0000-0000-000057200000}"/>
    <cellStyle name="Normal 31 3 3 5 2 2 3" xfId="3969" xr:uid="{00000000-0005-0000-0000-000058200000}"/>
    <cellStyle name="Normal 31 3 3 5 2 2 3 2" xfId="7825" xr:uid="{00000000-0005-0000-0000-000059200000}"/>
    <cellStyle name="Normal 31 3 3 5 2 2 3 3" xfId="10311" xr:uid="{00000000-0005-0000-0000-00005A200000}"/>
    <cellStyle name="Normal 31 3 3 5 2 2 4" xfId="5377" xr:uid="{00000000-0005-0000-0000-00005B200000}"/>
    <cellStyle name="Normal 31 3 3 5 2 2 5" xfId="9069" xr:uid="{00000000-0005-0000-0000-00005C200000}"/>
    <cellStyle name="Normal 31 3 3 5 2 3" xfId="2129" xr:uid="{00000000-0005-0000-0000-00005D200000}"/>
    <cellStyle name="Normal 31 3 3 5 2 3 2" xfId="5989" xr:uid="{00000000-0005-0000-0000-00005E200000}"/>
    <cellStyle name="Normal 31 3 3 5 2 3 3" xfId="11157" xr:uid="{00000000-0005-0000-0000-00005F200000}"/>
    <cellStyle name="Normal 31 3 3 5 2 4" xfId="3357" xr:uid="{00000000-0005-0000-0000-000060200000}"/>
    <cellStyle name="Normal 31 3 3 5 2 4 2" xfId="7213" xr:uid="{00000000-0005-0000-0000-000061200000}"/>
    <cellStyle name="Normal 31 3 3 5 2 4 3" xfId="9915" xr:uid="{00000000-0005-0000-0000-000062200000}"/>
    <cellStyle name="Normal 31 3 3 5 2 5" xfId="4765" xr:uid="{00000000-0005-0000-0000-000063200000}"/>
    <cellStyle name="Normal 31 3 3 5 2 6" xfId="8673" xr:uid="{00000000-0005-0000-0000-000064200000}"/>
    <cellStyle name="Normal 31 3 3 5 3" xfId="1209" xr:uid="{00000000-0005-0000-0000-000065200000}"/>
    <cellStyle name="Normal 31 3 3 5 3 2" xfId="2435" xr:uid="{00000000-0005-0000-0000-000066200000}"/>
    <cellStyle name="Normal 31 3 3 5 3 2 2" xfId="6295" xr:uid="{00000000-0005-0000-0000-000067200000}"/>
    <cellStyle name="Normal 31 3 3 5 3 2 3" xfId="11247" xr:uid="{00000000-0005-0000-0000-000068200000}"/>
    <cellStyle name="Normal 31 3 3 5 3 3" xfId="3663" xr:uid="{00000000-0005-0000-0000-000069200000}"/>
    <cellStyle name="Normal 31 3 3 5 3 3 2" xfId="7519" xr:uid="{00000000-0005-0000-0000-00006A200000}"/>
    <cellStyle name="Normal 31 3 3 5 3 3 3" xfId="10005" xr:uid="{00000000-0005-0000-0000-00006B200000}"/>
    <cellStyle name="Normal 31 3 3 5 3 4" xfId="5071" xr:uid="{00000000-0005-0000-0000-00006C200000}"/>
    <cellStyle name="Normal 31 3 3 5 3 5" xfId="8763" xr:uid="{00000000-0005-0000-0000-00006D200000}"/>
    <cellStyle name="Normal 31 3 3 5 4" xfId="1823" xr:uid="{00000000-0005-0000-0000-00006E200000}"/>
    <cellStyle name="Normal 31 3 3 5 4 2" xfId="5683" xr:uid="{00000000-0005-0000-0000-00006F200000}"/>
    <cellStyle name="Normal 31 3 3 5 4 2 2" xfId="11139" xr:uid="{00000000-0005-0000-0000-000070200000}"/>
    <cellStyle name="Normal 31 3 3 5 4 3" xfId="9897" xr:uid="{00000000-0005-0000-0000-000071200000}"/>
    <cellStyle name="Normal 31 3 3 5 4 4" xfId="8654" xr:uid="{00000000-0005-0000-0000-000072200000}"/>
    <cellStyle name="Normal 31 3 3 5 5" xfId="3050" xr:uid="{00000000-0005-0000-0000-000073200000}"/>
    <cellStyle name="Normal 31 3 3 5 5 2" xfId="6907" xr:uid="{00000000-0005-0000-0000-000074200000}"/>
    <cellStyle name="Normal 31 3 3 5 5 3" xfId="10617" xr:uid="{00000000-0005-0000-0000-000075200000}"/>
    <cellStyle name="Normal 31 3 3 5 6" xfId="4459" xr:uid="{00000000-0005-0000-0000-000076200000}"/>
    <cellStyle name="Normal 31 3 3 5 6 2" xfId="9375" xr:uid="{00000000-0005-0000-0000-000077200000}"/>
    <cellStyle name="Normal 31 3 3 5 7" xfId="8132" xr:uid="{00000000-0005-0000-0000-000078200000}"/>
    <cellStyle name="Normal 31 3 3 6" xfId="823" xr:uid="{00000000-0005-0000-0000-000079200000}"/>
    <cellStyle name="Normal 31 3 3 6 2" xfId="1461" xr:uid="{00000000-0005-0000-0000-00007A200000}"/>
    <cellStyle name="Normal 31 3 3 6 2 2" xfId="2687" xr:uid="{00000000-0005-0000-0000-00007B200000}"/>
    <cellStyle name="Normal 31 3 3 6 2 2 2" xfId="6547" xr:uid="{00000000-0005-0000-0000-00007C200000}"/>
    <cellStyle name="Normal 31 3 3 6 2 2 3" xfId="11499" xr:uid="{00000000-0005-0000-0000-00007D200000}"/>
    <cellStyle name="Normal 31 3 3 6 2 3" xfId="3915" xr:uid="{00000000-0005-0000-0000-00007E200000}"/>
    <cellStyle name="Normal 31 3 3 6 2 3 2" xfId="7771" xr:uid="{00000000-0005-0000-0000-00007F200000}"/>
    <cellStyle name="Normal 31 3 3 6 2 3 3" xfId="10257" xr:uid="{00000000-0005-0000-0000-000080200000}"/>
    <cellStyle name="Normal 31 3 3 6 2 4" xfId="5323" xr:uid="{00000000-0005-0000-0000-000081200000}"/>
    <cellStyle name="Normal 31 3 3 6 2 5" xfId="9015" xr:uid="{00000000-0005-0000-0000-000082200000}"/>
    <cellStyle name="Normal 31 3 3 6 3" xfId="2075" xr:uid="{00000000-0005-0000-0000-000083200000}"/>
    <cellStyle name="Normal 31 3 3 6 3 2" xfId="5935" xr:uid="{00000000-0005-0000-0000-000084200000}"/>
    <cellStyle name="Normal 31 3 3 6 3 3" xfId="10905" xr:uid="{00000000-0005-0000-0000-000085200000}"/>
    <cellStyle name="Normal 31 3 3 6 4" xfId="3303" xr:uid="{00000000-0005-0000-0000-000086200000}"/>
    <cellStyle name="Normal 31 3 3 6 4 2" xfId="7159" xr:uid="{00000000-0005-0000-0000-000087200000}"/>
    <cellStyle name="Normal 31 3 3 6 4 3" xfId="9663" xr:uid="{00000000-0005-0000-0000-000088200000}"/>
    <cellStyle name="Normal 31 3 3 6 5" xfId="4711" xr:uid="{00000000-0005-0000-0000-000089200000}"/>
    <cellStyle name="Normal 31 3 3 6 6" xfId="8420" xr:uid="{00000000-0005-0000-0000-00008A200000}"/>
    <cellStyle name="Normal 31 3 3 7" xfId="1155" xr:uid="{00000000-0005-0000-0000-00008B200000}"/>
    <cellStyle name="Normal 31 3 3 7 2" xfId="2381" xr:uid="{00000000-0005-0000-0000-00008C200000}"/>
    <cellStyle name="Normal 31 3 3 7 2 2" xfId="6241" xr:uid="{00000000-0005-0000-0000-00008D200000}"/>
    <cellStyle name="Normal 31 3 3 7 2 3" xfId="11193" xr:uid="{00000000-0005-0000-0000-00008E200000}"/>
    <cellStyle name="Normal 31 3 3 7 3" xfId="3609" xr:uid="{00000000-0005-0000-0000-00008F200000}"/>
    <cellStyle name="Normal 31 3 3 7 3 2" xfId="7465" xr:uid="{00000000-0005-0000-0000-000090200000}"/>
    <cellStyle name="Normal 31 3 3 7 3 3" xfId="9951" xr:uid="{00000000-0005-0000-0000-000091200000}"/>
    <cellStyle name="Normal 31 3 3 7 4" xfId="5017" xr:uid="{00000000-0005-0000-0000-000092200000}"/>
    <cellStyle name="Normal 31 3 3 7 5" xfId="8709" xr:uid="{00000000-0005-0000-0000-000093200000}"/>
    <cellStyle name="Normal 31 3 3 8" xfId="1769" xr:uid="{00000000-0005-0000-0000-000094200000}"/>
    <cellStyle name="Normal 31 3 3 8 2" xfId="5629" xr:uid="{00000000-0005-0000-0000-000095200000}"/>
    <cellStyle name="Normal 31 3 3 8 3" xfId="10563" xr:uid="{00000000-0005-0000-0000-000096200000}"/>
    <cellStyle name="Normal 31 3 3 9" xfId="2996" xr:uid="{00000000-0005-0000-0000-000097200000}"/>
    <cellStyle name="Normal 31 3 3 9 2" xfId="6853" xr:uid="{00000000-0005-0000-0000-000098200000}"/>
    <cellStyle name="Normal 31 3 3 9 3" xfId="11823" xr:uid="{00000000-0005-0000-0000-000099200000}"/>
    <cellStyle name="Normal 31 3 4" xfId="568" xr:uid="{00000000-0005-0000-0000-00009A200000}"/>
    <cellStyle name="Normal 31 3 4 2" xfId="749" xr:uid="{00000000-0005-0000-0000-00009B200000}"/>
    <cellStyle name="Normal 31 3 4 2 2" xfId="1099" xr:uid="{00000000-0005-0000-0000-00009C200000}"/>
    <cellStyle name="Normal 31 3 4 2 2 2" xfId="1713" xr:uid="{00000000-0005-0000-0000-00009D200000}"/>
    <cellStyle name="Normal 31 3 4 2 2 2 2" xfId="2939" xr:uid="{00000000-0005-0000-0000-00009E200000}"/>
    <cellStyle name="Normal 31 3 4 2 2 2 2 2" xfId="6799" xr:uid="{00000000-0005-0000-0000-00009F200000}"/>
    <cellStyle name="Normal 31 3 4 2 2 2 2 3" xfId="11751" xr:uid="{00000000-0005-0000-0000-0000A0200000}"/>
    <cellStyle name="Normal 31 3 4 2 2 2 3" xfId="4167" xr:uid="{00000000-0005-0000-0000-0000A1200000}"/>
    <cellStyle name="Normal 31 3 4 2 2 2 3 2" xfId="8023" xr:uid="{00000000-0005-0000-0000-0000A2200000}"/>
    <cellStyle name="Normal 31 3 4 2 2 2 3 3" xfId="10509" xr:uid="{00000000-0005-0000-0000-0000A3200000}"/>
    <cellStyle name="Normal 31 3 4 2 2 2 4" xfId="5575" xr:uid="{00000000-0005-0000-0000-0000A4200000}"/>
    <cellStyle name="Normal 31 3 4 2 2 2 5" xfId="9267" xr:uid="{00000000-0005-0000-0000-0000A5200000}"/>
    <cellStyle name="Normal 31 3 4 2 2 3" xfId="2327" xr:uid="{00000000-0005-0000-0000-0000A6200000}"/>
    <cellStyle name="Normal 31 3 4 2 2 3 2" xfId="6187" xr:uid="{00000000-0005-0000-0000-0000A7200000}"/>
    <cellStyle name="Normal 31 3 4 2 2 3 3" xfId="11103" xr:uid="{00000000-0005-0000-0000-0000A8200000}"/>
    <cellStyle name="Normal 31 3 4 2 2 4" xfId="3555" xr:uid="{00000000-0005-0000-0000-0000A9200000}"/>
    <cellStyle name="Normal 31 3 4 2 2 4 2" xfId="7411" xr:uid="{00000000-0005-0000-0000-0000AA200000}"/>
    <cellStyle name="Normal 31 3 4 2 2 4 3" xfId="9861" xr:uid="{00000000-0005-0000-0000-0000AB200000}"/>
    <cellStyle name="Normal 31 3 4 2 2 5" xfId="4963" xr:uid="{00000000-0005-0000-0000-0000AC200000}"/>
    <cellStyle name="Normal 31 3 4 2 2 6" xfId="8618" xr:uid="{00000000-0005-0000-0000-0000AD200000}"/>
    <cellStyle name="Normal 31 3 4 2 3" xfId="1407" xr:uid="{00000000-0005-0000-0000-0000AE200000}"/>
    <cellStyle name="Normal 31 3 4 2 3 2" xfId="2633" xr:uid="{00000000-0005-0000-0000-0000AF200000}"/>
    <cellStyle name="Normal 31 3 4 2 3 2 2" xfId="6493" xr:uid="{00000000-0005-0000-0000-0000B0200000}"/>
    <cellStyle name="Normal 31 3 4 2 3 2 3" xfId="11445" xr:uid="{00000000-0005-0000-0000-0000B1200000}"/>
    <cellStyle name="Normal 31 3 4 2 3 3" xfId="3861" xr:uid="{00000000-0005-0000-0000-0000B2200000}"/>
    <cellStyle name="Normal 31 3 4 2 3 3 2" xfId="7717" xr:uid="{00000000-0005-0000-0000-0000B3200000}"/>
    <cellStyle name="Normal 31 3 4 2 3 3 3" xfId="10203" xr:uid="{00000000-0005-0000-0000-0000B4200000}"/>
    <cellStyle name="Normal 31 3 4 2 3 4" xfId="5269" xr:uid="{00000000-0005-0000-0000-0000B5200000}"/>
    <cellStyle name="Normal 31 3 4 2 3 5" xfId="8961" xr:uid="{00000000-0005-0000-0000-0000B6200000}"/>
    <cellStyle name="Normal 31 3 4 2 4" xfId="2021" xr:uid="{00000000-0005-0000-0000-0000B7200000}"/>
    <cellStyle name="Normal 31 3 4 2 4 2" xfId="5881" xr:uid="{00000000-0005-0000-0000-0000B8200000}"/>
    <cellStyle name="Normal 31 3 4 2 4 3" xfId="10815" xr:uid="{00000000-0005-0000-0000-0000B9200000}"/>
    <cellStyle name="Normal 31 3 4 2 5" xfId="3248" xr:uid="{00000000-0005-0000-0000-0000BA200000}"/>
    <cellStyle name="Normal 31 3 4 2 5 2" xfId="7105" xr:uid="{00000000-0005-0000-0000-0000BB200000}"/>
    <cellStyle name="Normal 31 3 4 2 5 3" xfId="12021" xr:uid="{00000000-0005-0000-0000-0000BC200000}"/>
    <cellStyle name="Normal 31 3 4 2 6" xfId="4657" xr:uid="{00000000-0005-0000-0000-0000BD200000}"/>
    <cellStyle name="Normal 31 3 4 2 6 2" xfId="9573" xr:uid="{00000000-0005-0000-0000-0000BE200000}"/>
    <cellStyle name="Normal 31 3 4 2 7" xfId="8330" xr:uid="{00000000-0005-0000-0000-0000BF200000}"/>
    <cellStyle name="Normal 31 3 4 3" xfId="659" xr:uid="{00000000-0005-0000-0000-0000C0200000}"/>
    <cellStyle name="Normal 31 3 4 3 2" xfId="1009" xr:uid="{00000000-0005-0000-0000-0000C1200000}"/>
    <cellStyle name="Normal 31 3 4 3 2 2" xfId="1623" xr:uid="{00000000-0005-0000-0000-0000C2200000}"/>
    <cellStyle name="Normal 31 3 4 3 2 2 2" xfId="2849" xr:uid="{00000000-0005-0000-0000-0000C3200000}"/>
    <cellStyle name="Normal 31 3 4 3 2 2 2 2" xfId="6709" xr:uid="{00000000-0005-0000-0000-0000C4200000}"/>
    <cellStyle name="Normal 31 3 4 3 2 2 2 3" xfId="11661" xr:uid="{00000000-0005-0000-0000-0000C5200000}"/>
    <cellStyle name="Normal 31 3 4 3 2 2 3" xfId="4077" xr:uid="{00000000-0005-0000-0000-0000C6200000}"/>
    <cellStyle name="Normal 31 3 4 3 2 2 3 2" xfId="7933" xr:uid="{00000000-0005-0000-0000-0000C7200000}"/>
    <cellStyle name="Normal 31 3 4 3 2 2 3 3" xfId="10419" xr:uid="{00000000-0005-0000-0000-0000C8200000}"/>
    <cellStyle name="Normal 31 3 4 3 2 2 4" xfId="5485" xr:uid="{00000000-0005-0000-0000-0000C9200000}"/>
    <cellStyle name="Normal 31 3 4 3 2 2 5" xfId="9177" xr:uid="{00000000-0005-0000-0000-0000CA200000}"/>
    <cellStyle name="Normal 31 3 4 3 2 3" xfId="2237" xr:uid="{00000000-0005-0000-0000-0000CB200000}"/>
    <cellStyle name="Normal 31 3 4 3 2 3 2" xfId="6097" xr:uid="{00000000-0005-0000-0000-0000CC200000}"/>
    <cellStyle name="Normal 31 3 4 3 2 3 3" xfId="11013" xr:uid="{00000000-0005-0000-0000-0000CD200000}"/>
    <cellStyle name="Normal 31 3 4 3 2 4" xfId="3465" xr:uid="{00000000-0005-0000-0000-0000CE200000}"/>
    <cellStyle name="Normal 31 3 4 3 2 4 2" xfId="7321" xr:uid="{00000000-0005-0000-0000-0000CF200000}"/>
    <cellStyle name="Normal 31 3 4 3 2 4 3" xfId="9771" xr:uid="{00000000-0005-0000-0000-0000D0200000}"/>
    <cellStyle name="Normal 31 3 4 3 2 5" xfId="4873" xr:uid="{00000000-0005-0000-0000-0000D1200000}"/>
    <cellStyle name="Normal 31 3 4 3 2 6" xfId="8528" xr:uid="{00000000-0005-0000-0000-0000D2200000}"/>
    <cellStyle name="Normal 31 3 4 3 3" xfId="1317" xr:uid="{00000000-0005-0000-0000-0000D3200000}"/>
    <cellStyle name="Normal 31 3 4 3 3 2" xfId="2543" xr:uid="{00000000-0005-0000-0000-0000D4200000}"/>
    <cellStyle name="Normal 31 3 4 3 3 2 2" xfId="6403" xr:uid="{00000000-0005-0000-0000-0000D5200000}"/>
    <cellStyle name="Normal 31 3 4 3 3 2 3" xfId="11355" xr:uid="{00000000-0005-0000-0000-0000D6200000}"/>
    <cellStyle name="Normal 31 3 4 3 3 3" xfId="3771" xr:uid="{00000000-0005-0000-0000-0000D7200000}"/>
    <cellStyle name="Normal 31 3 4 3 3 3 2" xfId="7627" xr:uid="{00000000-0005-0000-0000-0000D8200000}"/>
    <cellStyle name="Normal 31 3 4 3 3 3 3" xfId="10113" xr:uid="{00000000-0005-0000-0000-0000D9200000}"/>
    <cellStyle name="Normal 31 3 4 3 3 4" xfId="5179" xr:uid="{00000000-0005-0000-0000-0000DA200000}"/>
    <cellStyle name="Normal 31 3 4 3 3 5" xfId="8871" xr:uid="{00000000-0005-0000-0000-0000DB200000}"/>
    <cellStyle name="Normal 31 3 4 3 4" xfId="1931" xr:uid="{00000000-0005-0000-0000-0000DC200000}"/>
    <cellStyle name="Normal 31 3 4 3 4 2" xfId="5791" xr:uid="{00000000-0005-0000-0000-0000DD200000}"/>
    <cellStyle name="Normal 31 3 4 3 4 3" xfId="10725" xr:uid="{00000000-0005-0000-0000-0000DE200000}"/>
    <cellStyle name="Normal 31 3 4 3 5" xfId="3158" xr:uid="{00000000-0005-0000-0000-0000DF200000}"/>
    <cellStyle name="Normal 31 3 4 3 5 2" xfId="7015" xr:uid="{00000000-0005-0000-0000-0000E0200000}"/>
    <cellStyle name="Normal 31 3 4 3 5 3" xfId="11931" xr:uid="{00000000-0005-0000-0000-0000E1200000}"/>
    <cellStyle name="Normal 31 3 4 3 6" xfId="4567" xr:uid="{00000000-0005-0000-0000-0000E2200000}"/>
    <cellStyle name="Normal 31 3 4 3 6 2" xfId="9483" xr:uid="{00000000-0005-0000-0000-0000E3200000}"/>
    <cellStyle name="Normal 31 3 4 3 7" xfId="8240" xr:uid="{00000000-0005-0000-0000-0000E4200000}"/>
    <cellStyle name="Normal 31 3 4 4" xfId="918" xr:uid="{00000000-0005-0000-0000-0000E5200000}"/>
    <cellStyle name="Normal 31 3 4 4 2" xfId="1533" xr:uid="{00000000-0005-0000-0000-0000E6200000}"/>
    <cellStyle name="Normal 31 3 4 4 2 2" xfId="2759" xr:uid="{00000000-0005-0000-0000-0000E7200000}"/>
    <cellStyle name="Normal 31 3 4 4 2 2 2" xfId="6619" xr:uid="{00000000-0005-0000-0000-0000E8200000}"/>
    <cellStyle name="Normal 31 3 4 4 2 2 3" xfId="11571" xr:uid="{00000000-0005-0000-0000-0000E9200000}"/>
    <cellStyle name="Normal 31 3 4 4 2 3" xfId="3987" xr:uid="{00000000-0005-0000-0000-0000EA200000}"/>
    <cellStyle name="Normal 31 3 4 4 2 3 2" xfId="7843" xr:uid="{00000000-0005-0000-0000-0000EB200000}"/>
    <cellStyle name="Normal 31 3 4 4 2 3 3" xfId="10329" xr:uid="{00000000-0005-0000-0000-0000EC200000}"/>
    <cellStyle name="Normal 31 3 4 4 2 4" xfId="5395" xr:uid="{00000000-0005-0000-0000-0000ED200000}"/>
    <cellStyle name="Normal 31 3 4 4 2 5" xfId="9087" xr:uid="{00000000-0005-0000-0000-0000EE200000}"/>
    <cellStyle name="Normal 31 3 4 4 3" xfId="2147" xr:uid="{00000000-0005-0000-0000-0000EF200000}"/>
    <cellStyle name="Normal 31 3 4 4 3 2" xfId="6007" xr:uid="{00000000-0005-0000-0000-0000F0200000}"/>
    <cellStyle name="Normal 31 3 4 4 3 3" xfId="10923" xr:uid="{00000000-0005-0000-0000-0000F1200000}"/>
    <cellStyle name="Normal 31 3 4 4 4" xfId="3375" xr:uid="{00000000-0005-0000-0000-0000F2200000}"/>
    <cellStyle name="Normal 31 3 4 4 4 2" xfId="7231" xr:uid="{00000000-0005-0000-0000-0000F3200000}"/>
    <cellStyle name="Normal 31 3 4 4 4 3" xfId="9681" xr:uid="{00000000-0005-0000-0000-0000F4200000}"/>
    <cellStyle name="Normal 31 3 4 4 5" xfId="4783" xr:uid="{00000000-0005-0000-0000-0000F5200000}"/>
    <cellStyle name="Normal 31 3 4 4 6" xfId="8438" xr:uid="{00000000-0005-0000-0000-0000F6200000}"/>
    <cellStyle name="Normal 31 3 4 5" xfId="1227" xr:uid="{00000000-0005-0000-0000-0000F7200000}"/>
    <cellStyle name="Normal 31 3 4 5 2" xfId="2453" xr:uid="{00000000-0005-0000-0000-0000F8200000}"/>
    <cellStyle name="Normal 31 3 4 5 2 2" xfId="6313" xr:uid="{00000000-0005-0000-0000-0000F9200000}"/>
    <cellStyle name="Normal 31 3 4 5 2 3" xfId="11265" xr:uid="{00000000-0005-0000-0000-0000FA200000}"/>
    <cellStyle name="Normal 31 3 4 5 3" xfId="3681" xr:uid="{00000000-0005-0000-0000-0000FB200000}"/>
    <cellStyle name="Normal 31 3 4 5 3 2" xfId="7537" xr:uid="{00000000-0005-0000-0000-0000FC200000}"/>
    <cellStyle name="Normal 31 3 4 5 3 3" xfId="10023" xr:uid="{00000000-0005-0000-0000-0000FD200000}"/>
    <cellStyle name="Normal 31 3 4 5 4" xfId="5089" xr:uid="{00000000-0005-0000-0000-0000FE200000}"/>
    <cellStyle name="Normal 31 3 4 5 5" xfId="8781" xr:uid="{00000000-0005-0000-0000-0000FF200000}"/>
    <cellStyle name="Normal 31 3 4 6" xfId="1841" xr:uid="{00000000-0005-0000-0000-000000210000}"/>
    <cellStyle name="Normal 31 3 4 6 2" xfId="5701" xr:uid="{00000000-0005-0000-0000-000001210000}"/>
    <cellStyle name="Normal 31 3 4 6 3" xfId="10635" xr:uid="{00000000-0005-0000-0000-000002210000}"/>
    <cellStyle name="Normal 31 3 4 7" xfId="3068" xr:uid="{00000000-0005-0000-0000-000003210000}"/>
    <cellStyle name="Normal 31 3 4 7 2" xfId="6925" xr:uid="{00000000-0005-0000-0000-000004210000}"/>
    <cellStyle name="Normal 31 3 4 7 3" xfId="11841" xr:uid="{00000000-0005-0000-0000-000005210000}"/>
    <cellStyle name="Normal 31 3 4 8" xfId="4477" xr:uid="{00000000-0005-0000-0000-000006210000}"/>
    <cellStyle name="Normal 31 3 4 8 2" xfId="9393" xr:uid="{00000000-0005-0000-0000-000007210000}"/>
    <cellStyle name="Normal 31 3 4 9" xfId="8150" xr:uid="{00000000-0005-0000-0000-000008210000}"/>
    <cellStyle name="Normal 31 3 5" xfId="511" xr:uid="{00000000-0005-0000-0000-000009210000}"/>
    <cellStyle name="Normal 31 3 5 2" xfId="713" xr:uid="{00000000-0005-0000-0000-00000A210000}"/>
    <cellStyle name="Normal 31 3 5 2 2" xfId="1063" xr:uid="{00000000-0005-0000-0000-00000B210000}"/>
    <cellStyle name="Normal 31 3 5 2 2 2" xfId="1677" xr:uid="{00000000-0005-0000-0000-00000C210000}"/>
    <cellStyle name="Normal 31 3 5 2 2 2 2" xfId="2903" xr:uid="{00000000-0005-0000-0000-00000D210000}"/>
    <cellStyle name="Normal 31 3 5 2 2 2 2 2" xfId="6763" xr:uid="{00000000-0005-0000-0000-00000E210000}"/>
    <cellStyle name="Normal 31 3 5 2 2 2 2 3" xfId="11715" xr:uid="{00000000-0005-0000-0000-00000F210000}"/>
    <cellStyle name="Normal 31 3 5 2 2 2 3" xfId="4131" xr:uid="{00000000-0005-0000-0000-000010210000}"/>
    <cellStyle name="Normal 31 3 5 2 2 2 3 2" xfId="7987" xr:uid="{00000000-0005-0000-0000-000011210000}"/>
    <cellStyle name="Normal 31 3 5 2 2 2 3 3" xfId="10473" xr:uid="{00000000-0005-0000-0000-000012210000}"/>
    <cellStyle name="Normal 31 3 5 2 2 2 4" xfId="5539" xr:uid="{00000000-0005-0000-0000-000013210000}"/>
    <cellStyle name="Normal 31 3 5 2 2 2 5" xfId="9231" xr:uid="{00000000-0005-0000-0000-000014210000}"/>
    <cellStyle name="Normal 31 3 5 2 2 3" xfId="2291" xr:uid="{00000000-0005-0000-0000-000015210000}"/>
    <cellStyle name="Normal 31 3 5 2 2 3 2" xfId="6151" xr:uid="{00000000-0005-0000-0000-000016210000}"/>
    <cellStyle name="Normal 31 3 5 2 2 3 3" xfId="11067" xr:uid="{00000000-0005-0000-0000-000017210000}"/>
    <cellStyle name="Normal 31 3 5 2 2 4" xfId="3519" xr:uid="{00000000-0005-0000-0000-000018210000}"/>
    <cellStyle name="Normal 31 3 5 2 2 4 2" xfId="7375" xr:uid="{00000000-0005-0000-0000-000019210000}"/>
    <cellStyle name="Normal 31 3 5 2 2 4 3" xfId="9825" xr:uid="{00000000-0005-0000-0000-00001A210000}"/>
    <cellStyle name="Normal 31 3 5 2 2 5" xfId="4927" xr:uid="{00000000-0005-0000-0000-00001B210000}"/>
    <cellStyle name="Normal 31 3 5 2 2 6" xfId="8582" xr:uid="{00000000-0005-0000-0000-00001C210000}"/>
    <cellStyle name="Normal 31 3 5 2 3" xfId="1371" xr:uid="{00000000-0005-0000-0000-00001D210000}"/>
    <cellStyle name="Normal 31 3 5 2 3 2" xfId="2597" xr:uid="{00000000-0005-0000-0000-00001E210000}"/>
    <cellStyle name="Normal 31 3 5 2 3 2 2" xfId="6457" xr:uid="{00000000-0005-0000-0000-00001F210000}"/>
    <cellStyle name="Normal 31 3 5 2 3 2 3" xfId="11409" xr:uid="{00000000-0005-0000-0000-000020210000}"/>
    <cellStyle name="Normal 31 3 5 2 3 3" xfId="3825" xr:uid="{00000000-0005-0000-0000-000021210000}"/>
    <cellStyle name="Normal 31 3 5 2 3 3 2" xfId="7681" xr:uid="{00000000-0005-0000-0000-000022210000}"/>
    <cellStyle name="Normal 31 3 5 2 3 3 3" xfId="10167" xr:uid="{00000000-0005-0000-0000-000023210000}"/>
    <cellStyle name="Normal 31 3 5 2 3 4" xfId="5233" xr:uid="{00000000-0005-0000-0000-000024210000}"/>
    <cellStyle name="Normal 31 3 5 2 3 5" xfId="8925" xr:uid="{00000000-0005-0000-0000-000025210000}"/>
    <cellStyle name="Normal 31 3 5 2 4" xfId="1985" xr:uid="{00000000-0005-0000-0000-000026210000}"/>
    <cellStyle name="Normal 31 3 5 2 4 2" xfId="5845" xr:uid="{00000000-0005-0000-0000-000027210000}"/>
    <cellStyle name="Normal 31 3 5 2 4 3" xfId="10779" xr:uid="{00000000-0005-0000-0000-000028210000}"/>
    <cellStyle name="Normal 31 3 5 2 5" xfId="3212" xr:uid="{00000000-0005-0000-0000-000029210000}"/>
    <cellStyle name="Normal 31 3 5 2 5 2" xfId="7069" xr:uid="{00000000-0005-0000-0000-00002A210000}"/>
    <cellStyle name="Normal 31 3 5 2 5 3" xfId="11985" xr:uid="{00000000-0005-0000-0000-00002B210000}"/>
    <cellStyle name="Normal 31 3 5 2 6" xfId="4621" xr:uid="{00000000-0005-0000-0000-00002C210000}"/>
    <cellStyle name="Normal 31 3 5 2 6 2" xfId="9537" xr:uid="{00000000-0005-0000-0000-00002D210000}"/>
    <cellStyle name="Normal 31 3 5 2 7" xfId="8294" xr:uid="{00000000-0005-0000-0000-00002E210000}"/>
    <cellStyle name="Normal 31 3 5 3" xfId="623" xr:uid="{00000000-0005-0000-0000-00002F210000}"/>
    <cellStyle name="Normal 31 3 5 3 2" xfId="973" xr:uid="{00000000-0005-0000-0000-000030210000}"/>
    <cellStyle name="Normal 31 3 5 3 2 2" xfId="1587" xr:uid="{00000000-0005-0000-0000-000031210000}"/>
    <cellStyle name="Normal 31 3 5 3 2 2 2" xfId="2813" xr:uid="{00000000-0005-0000-0000-000032210000}"/>
    <cellStyle name="Normal 31 3 5 3 2 2 2 2" xfId="6673" xr:uid="{00000000-0005-0000-0000-000033210000}"/>
    <cellStyle name="Normal 31 3 5 3 2 2 2 3" xfId="11625" xr:uid="{00000000-0005-0000-0000-000034210000}"/>
    <cellStyle name="Normal 31 3 5 3 2 2 3" xfId="4041" xr:uid="{00000000-0005-0000-0000-000035210000}"/>
    <cellStyle name="Normal 31 3 5 3 2 2 3 2" xfId="7897" xr:uid="{00000000-0005-0000-0000-000036210000}"/>
    <cellStyle name="Normal 31 3 5 3 2 2 3 3" xfId="10383" xr:uid="{00000000-0005-0000-0000-000037210000}"/>
    <cellStyle name="Normal 31 3 5 3 2 2 4" xfId="5449" xr:uid="{00000000-0005-0000-0000-000038210000}"/>
    <cellStyle name="Normal 31 3 5 3 2 2 5" xfId="9141" xr:uid="{00000000-0005-0000-0000-000039210000}"/>
    <cellStyle name="Normal 31 3 5 3 2 3" xfId="2201" xr:uid="{00000000-0005-0000-0000-00003A210000}"/>
    <cellStyle name="Normal 31 3 5 3 2 3 2" xfId="6061" xr:uid="{00000000-0005-0000-0000-00003B210000}"/>
    <cellStyle name="Normal 31 3 5 3 2 3 3" xfId="10977" xr:uid="{00000000-0005-0000-0000-00003C210000}"/>
    <cellStyle name="Normal 31 3 5 3 2 4" xfId="3429" xr:uid="{00000000-0005-0000-0000-00003D210000}"/>
    <cellStyle name="Normal 31 3 5 3 2 4 2" xfId="7285" xr:uid="{00000000-0005-0000-0000-00003E210000}"/>
    <cellStyle name="Normal 31 3 5 3 2 4 3" xfId="9735" xr:uid="{00000000-0005-0000-0000-00003F210000}"/>
    <cellStyle name="Normal 31 3 5 3 2 5" xfId="4837" xr:uid="{00000000-0005-0000-0000-000040210000}"/>
    <cellStyle name="Normal 31 3 5 3 2 6" xfId="8492" xr:uid="{00000000-0005-0000-0000-000041210000}"/>
    <cellStyle name="Normal 31 3 5 3 3" xfId="1281" xr:uid="{00000000-0005-0000-0000-000042210000}"/>
    <cellStyle name="Normal 31 3 5 3 3 2" xfId="2507" xr:uid="{00000000-0005-0000-0000-000043210000}"/>
    <cellStyle name="Normal 31 3 5 3 3 2 2" xfId="6367" xr:uid="{00000000-0005-0000-0000-000044210000}"/>
    <cellStyle name="Normal 31 3 5 3 3 2 3" xfId="11319" xr:uid="{00000000-0005-0000-0000-000045210000}"/>
    <cellStyle name="Normal 31 3 5 3 3 3" xfId="3735" xr:uid="{00000000-0005-0000-0000-000046210000}"/>
    <cellStyle name="Normal 31 3 5 3 3 3 2" xfId="7591" xr:uid="{00000000-0005-0000-0000-000047210000}"/>
    <cellStyle name="Normal 31 3 5 3 3 3 3" xfId="10077" xr:uid="{00000000-0005-0000-0000-000048210000}"/>
    <cellStyle name="Normal 31 3 5 3 3 4" xfId="5143" xr:uid="{00000000-0005-0000-0000-000049210000}"/>
    <cellStyle name="Normal 31 3 5 3 3 5" xfId="8835" xr:uid="{00000000-0005-0000-0000-00004A210000}"/>
    <cellStyle name="Normal 31 3 5 3 4" xfId="1895" xr:uid="{00000000-0005-0000-0000-00004B210000}"/>
    <cellStyle name="Normal 31 3 5 3 4 2" xfId="5755" xr:uid="{00000000-0005-0000-0000-00004C210000}"/>
    <cellStyle name="Normal 31 3 5 3 4 3" xfId="10689" xr:uid="{00000000-0005-0000-0000-00004D210000}"/>
    <cellStyle name="Normal 31 3 5 3 5" xfId="3122" xr:uid="{00000000-0005-0000-0000-00004E210000}"/>
    <cellStyle name="Normal 31 3 5 3 5 2" xfId="6979" xr:uid="{00000000-0005-0000-0000-00004F210000}"/>
    <cellStyle name="Normal 31 3 5 3 5 3" xfId="11895" xr:uid="{00000000-0005-0000-0000-000050210000}"/>
    <cellStyle name="Normal 31 3 5 3 6" xfId="4531" xr:uid="{00000000-0005-0000-0000-000051210000}"/>
    <cellStyle name="Normal 31 3 5 3 6 2" xfId="9447" xr:uid="{00000000-0005-0000-0000-000052210000}"/>
    <cellStyle name="Normal 31 3 5 3 7" xfId="8204" xr:uid="{00000000-0005-0000-0000-000053210000}"/>
    <cellStyle name="Normal 31 3 5 4" xfId="861" xr:uid="{00000000-0005-0000-0000-000054210000}"/>
    <cellStyle name="Normal 31 3 5 4 2" xfId="1497" xr:uid="{00000000-0005-0000-0000-000055210000}"/>
    <cellStyle name="Normal 31 3 5 4 2 2" xfId="2723" xr:uid="{00000000-0005-0000-0000-000056210000}"/>
    <cellStyle name="Normal 31 3 5 4 2 2 2" xfId="6583" xr:uid="{00000000-0005-0000-0000-000057210000}"/>
    <cellStyle name="Normal 31 3 5 4 2 2 3" xfId="11535" xr:uid="{00000000-0005-0000-0000-000058210000}"/>
    <cellStyle name="Normal 31 3 5 4 2 3" xfId="3951" xr:uid="{00000000-0005-0000-0000-000059210000}"/>
    <cellStyle name="Normal 31 3 5 4 2 3 2" xfId="7807" xr:uid="{00000000-0005-0000-0000-00005A210000}"/>
    <cellStyle name="Normal 31 3 5 4 2 3 3" xfId="10293" xr:uid="{00000000-0005-0000-0000-00005B210000}"/>
    <cellStyle name="Normal 31 3 5 4 2 4" xfId="5359" xr:uid="{00000000-0005-0000-0000-00005C210000}"/>
    <cellStyle name="Normal 31 3 5 4 2 5" xfId="9051" xr:uid="{00000000-0005-0000-0000-00005D210000}"/>
    <cellStyle name="Normal 31 3 5 4 3" xfId="2111" xr:uid="{00000000-0005-0000-0000-00005E210000}"/>
    <cellStyle name="Normal 31 3 5 4 3 2" xfId="5971" xr:uid="{00000000-0005-0000-0000-00005F210000}"/>
    <cellStyle name="Normal 31 3 5 4 3 3" xfId="10887" xr:uid="{00000000-0005-0000-0000-000060210000}"/>
    <cellStyle name="Normal 31 3 5 4 4" xfId="3339" xr:uid="{00000000-0005-0000-0000-000061210000}"/>
    <cellStyle name="Normal 31 3 5 4 4 2" xfId="7195" xr:uid="{00000000-0005-0000-0000-000062210000}"/>
    <cellStyle name="Normal 31 3 5 4 4 3" xfId="9645" xr:uid="{00000000-0005-0000-0000-000063210000}"/>
    <cellStyle name="Normal 31 3 5 4 5" xfId="4747" xr:uid="{00000000-0005-0000-0000-000064210000}"/>
    <cellStyle name="Normal 31 3 5 4 6" xfId="8402" xr:uid="{00000000-0005-0000-0000-000065210000}"/>
    <cellStyle name="Normal 31 3 5 5" xfId="1191" xr:uid="{00000000-0005-0000-0000-000066210000}"/>
    <cellStyle name="Normal 31 3 5 5 2" xfId="2417" xr:uid="{00000000-0005-0000-0000-000067210000}"/>
    <cellStyle name="Normal 31 3 5 5 2 2" xfId="6277" xr:uid="{00000000-0005-0000-0000-000068210000}"/>
    <cellStyle name="Normal 31 3 5 5 2 3" xfId="11229" xr:uid="{00000000-0005-0000-0000-000069210000}"/>
    <cellStyle name="Normal 31 3 5 5 3" xfId="3645" xr:uid="{00000000-0005-0000-0000-00006A210000}"/>
    <cellStyle name="Normal 31 3 5 5 3 2" xfId="7501" xr:uid="{00000000-0005-0000-0000-00006B210000}"/>
    <cellStyle name="Normal 31 3 5 5 3 3" xfId="9987" xr:uid="{00000000-0005-0000-0000-00006C210000}"/>
    <cellStyle name="Normal 31 3 5 5 4" xfId="5053" xr:uid="{00000000-0005-0000-0000-00006D210000}"/>
    <cellStyle name="Normal 31 3 5 5 5" xfId="8745" xr:uid="{00000000-0005-0000-0000-00006E210000}"/>
    <cellStyle name="Normal 31 3 5 6" xfId="1805" xr:uid="{00000000-0005-0000-0000-00006F210000}"/>
    <cellStyle name="Normal 31 3 5 6 2" xfId="5665" xr:uid="{00000000-0005-0000-0000-000070210000}"/>
    <cellStyle name="Normal 31 3 5 6 3" xfId="10599" xr:uid="{00000000-0005-0000-0000-000071210000}"/>
    <cellStyle name="Normal 31 3 5 7" xfId="3032" xr:uid="{00000000-0005-0000-0000-000072210000}"/>
    <cellStyle name="Normal 31 3 5 7 2" xfId="6889" xr:uid="{00000000-0005-0000-0000-000073210000}"/>
    <cellStyle name="Normal 31 3 5 7 3" xfId="11805" xr:uid="{00000000-0005-0000-0000-000074210000}"/>
    <cellStyle name="Normal 31 3 5 8" xfId="4441" xr:uid="{00000000-0005-0000-0000-000075210000}"/>
    <cellStyle name="Normal 31 3 5 8 2" xfId="9357" xr:uid="{00000000-0005-0000-0000-000076210000}"/>
    <cellStyle name="Normal 31 3 5 9" xfId="8114" xr:uid="{00000000-0005-0000-0000-000077210000}"/>
    <cellStyle name="Normal 31 3 6" xfId="695" xr:uid="{00000000-0005-0000-0000-000078210000}"/>
    <cellStyle name="Normal 31 3 6 2" xfId="1045" xr:uid="{00000000-0005-0000-0000-000079210000}"/>
    <cellStyle name="Normal 31 3 6 2 2" xfId="1659" xr:uid="{00000000-0005-0000-0000-00007A210000}"/>
    <cellStyle name="Normal 31 3 6 2 2 2" xfId="2885" xr:uid="{00000000-0005-0000-0000-00007B210000}"/>
    <cellStyle name="Normal 31 3 6 2 2 2 2" xfId="6745" xr:uid="{00000000-0005-0000-0000-00007C210000}"/>
    <cellStyle name="Normal 31 3 6 2 2 2 3" xfId="11697" xr:uid="{00000000-0005-0000-0000-00007D210000}"/>
    <cellStyle name="Normal 31 3 6 2 2 3" xfId="4113" xr:uid="{00000000-0005-0000-0000-00007E210000}"/>
    <cellStyle name="Normal 31 3 6 2 2 3 2" xfId="7969" xr:uid="{00000000-0005-0000-0000-00007F210000}"/>
    <cellStyle name="Normal 31 3 6 2 2 3 3" xfId="10455" xr:uid="{00000000-0005-0000-0000-000080210000}"/>
    <cellStyle name="Normal 31 3 6 2 2 4" xfId="5521" xr:uid="{00000000-0005-0000-0000-000081210000}"/>
    <cellStyle name="Normal 31 3 6 2 2 5" xfId="9213" xr:uid="{00000000-0005-0000-0000-000082210000}"/>
    <cellStyle name="Normal 31 3 6 2 3" xfId="2273" xr:uid="{00000000-0005-0000-0000-000083210000}"/>
    <cellStyle name="Normal 31 3 6 2 3 2" xfId="6133" xr:uid="{00000000-0005-0000-0000-000084210000}"/>
    <cellStyle name="Normal 31 3 6 2 3 3" xfId="11049" xr:uid="{00000000-0005-0000-0000-000085210000}"/>
    <cellStyle name="Normal 31 3 6 2 4" xfId="3501" xr:uid="{00000000-0005-0000-0000-000086210000}"/>
    <cellStyle name="Normal 31 3 6 2 4 2" xfId="7357" xr:uid="{00000000-0005-0000-0000-000087210000}"/>
    <cellStyle name="Normal 31 3 6 2 4 3" xfId="9807" xr:uid="{00000000-0005-0000-0000-000088210000}"/>
    <cellStyle name="Normal 31 3 6 2 5" xfId="4909" xr:uid="{00000000-0005-0000-0000-000089210000}"/>
    <cellStyle name="Normal 31 3 6 2 6" xfId="8564" xr:uid="{00000000-0005-0000-0000-00008A210000}"/>
    <cellStyle name="Normal 31 3 6 3" xfId="1353" xr:uid="{00000000-0005-0000-0000-00008B210000}"/>
    <cellStyle name="Normal 31 3 6 3 2" xfId="2579" xr:uid="{00000000-0005-0000-0000-00008C210000}"/>
    <cellStyle name="Normal 31 3 6 3 2 2" xfId="6439" xr:uid="{00000000-0005-0000-0000-00008D210000}"/>
    <cellStyle name="Normal 31 3 6 3 2 3" xfId="11391" xr:uid="{00000000-0005-0000-0000-00008E210000}"/>
    <cellStyle name="Normal 31 3 6 3 3" xfId="3807" xr:uid="{00000000-0005-0000-0000-00008F210000}"/>
    <cellStyle name="Normal 31 3 6 3 3 2" xfId="7663" xr:uid="{00000000-0005-0000-0000-000090210000}"/>
    <cellStyle name="Normal 31 3 6 3 3 3" xfId="10149" xr:uid="{00000000-0005-0000-0000-000091210000}"/>
    <cellStyle name="Normal 31 3 6 3 4" xfId="5215" xr:uid="{00000000-0005-0000-0000-000092210000}"/>
    <cellStyle name="Normal 31 3 6 3 5" xfId="8907" xr:uid="{00000000-0005-0000-0000-000093210000}"/>
    <cellStyle name="Normal 31 3 6 4" xfId="1967" xr:uid="{00000000-0005-0000-0000-000094210000}"/>
    <cellStyle name="Normal 31 3 6 4 2" xfId="5827" xr:uid="{00000000-0005-0000-0000-000095210000}"/>
    <cellStyle name="Normal 31 3 6 4 3" xfId="10761" xr:uid="{00000000-0005-0000-0000-000096210000}"/>
    <cellStyle name="Normal 31 3 6 5" xfId="3194" xr:uid="{00000000-0005-0000-0000-000097210000}"/>
    <cellStyle name="Normal 31 3 6 5 2" xfId="7051" xr:uid="{00000000-0005-0000-0000-000098210000}"/>
    <cellStyle name="Normal 31 3 6 5 3" xfId="11967" xr:uid="{00000000-0005-0000-0000-000099210000}"/>
    <cellStyle name="Normal 31 3 6 6" xfId="4603" xr:uid="{00000000-0005-0000-0000-00009A210000}"/>
    <cellStyle name="Normal 31 3 6 6 2" xfId="9519" xr:uid="{00000000-0005-0000-0000-00009B210000}"/>
    <cellStyle name="Normal 31 3 6 7" xfId="8276" xr:uid="{00000000-0005-0000-0000-00009C210000}"/>
    <cellStyle name="Normal 31 3 7" xfId="605" xr:uid="{00000000-0005-0000-0000-00009D210000}"/>
    <cellStyle name="Normal 31 3 7 2" xfId="955" xr:uid="{00000000-0005-0000-0000-00009E210000}"/>
    <cellStyle name="Normal 31 3 7 2 2" xfId="1569" xr:uid="{00000000-0005-0000-0000-00009F210000}"/>
    <cellStyle name="Normal 31 3 7 2 2 2" xfId="2795" xr:uid="{00000000-0005-0000-0000-0000A0210000}"/>
    <cellStyle name="Normal 31 3 7 2 2 2 2" xfId="6655" xr:uid="{00000000-0005-0000-0000-0000A1210000}"/>
    <cellStyle name="Normal 31 3 7 2 2 2 3" xfId="11607" xr:uid="{00000000-0005-0000-0000-0000A2210000}"/>
    <cellStyle name="Normal 31 3 7 2 2 3" xfId="4023" xr:uid="{00000000-0005-0000-0000-0000A3210000}"/>
    <cellStyle name="Normal 31 3 7 2 2 3 2" xfId="7879" xr:uid="{00000000-0005-0000-0000-0000A4210000}"/>
    <cellStyle name="Normal 31 3 7 2 2 3 3" xfId="10365" xr:uid="{00000000-0005-0000-0000-0000A5210000}"/>
    <cellStyle name="Normal 31 3 7 2 2 4" xfId="5431" xr:uid="{00000000-0005-0000-0000-0000A6210000}"/>
    <cellStyle name="Normal 31 3 7 2 2 5" xfId="9123" xr:uid="{00000000-0005-0000-0000-0000A7210000}"/>
    <cellStyle name="Normal 31 3 7 2 3" xfId="2183" xr:uid="{00000000-0005-0000-0000-0000A8210000}"/>
    <cellStyle name="Normal 31 3 7 2 3 2" xfId="6043" xr:uid="{00000000-0005-0000-0000-0000A9210000}"/>
    <cellStyle name="Normal 31 3 7 2 3 3" xfId="10959" xr:uid="{00000000-0005-0000-0000-0000AA210000}"/>
    <cellStyle name="Normal 31 3 7 2 4" xfId="3411" xr:uid="{00000000-0005-0000-0000-0000AB210000}"/>
    <cellStyle name="Normal 31 3 7 2 4 2" xfId="7267" xr:uid="{00000000-0005-0000-0000-0000AC210000}"/>
    <cellStyle name="Normal 31 3 7 2 4 3" xfId="9717" xr:uid="{00000000-0005-0000-0000-0000AD210000}"/>
    <cellStyle name="Normal 31 3 7 2 5" xfId="4819" xr:uid="{00000000-0005-0000-0000-0000AE210000}"/>
    <cellStyle name="Normal 31 3 7 2 6" xfId="8474" xr:uid="{00000000-0005-0000-0000-0000AF210000}"/>
    <cellStyle name="Normal 31 3 7 3" xfId="1263" xr:uid="{00000000-0005-0000-0000-0000B0210000}"/>
    <cellStyle name="Normal 31 3 7 3 2" xfId="2489" xr:uid="{00000000-0005-0000-0000-0000B1210000}"/>
    <cellStyle name="Normal 31 3 7 3 2 2" xfId="6349" xr:uid="{00000000-0005-0000-0000-0000B2210000}"/>
    <cellStyle name="Normal 31 3 7 3 2 3" xfId="11301" xr:uid="{00000000-0005-0000-0000-0000B3210000}"/>
    <cellStyle name="Normal 31 3 7 3 3" xfId="3717" xr:uid="{00000000-0005-0000-0000-0000B4210000}"/>
    <cellStyle name="Normal 31 3 7 3 3 2" xfId="7573" xr:uid="{00000000-0005-0000-0000-0000B5210000}"/>
    <cellStyle name="Normal 31 3 7 3 3 3" xfId="10059" xr:uid="{00000000-0005-0000-0000-0000B6210000}"/>
    <cellStyle name="Normal 31 3 7 3 4" xfId="5125" xr:uid="{00000000-0005-0000-0000-0000B7210000}"/>
    <cellStyle name="Normal 31 3 7 3 5" xfId="8817" xr:uid="{00000000-0005-0000-0000-0000B8210000}"/>
    <cellStyle name="Normal 31 3 7 4" xfId="1877" xr:uid="{00000000-0005-0000-0000-0000B9210000}"/>
    <cellStyle name="Normal 31 3 7 4 2" xfId="5737" xr:uid="{00000000-0005-0000-0000-0000BA210000}"/>
    <cellStyle name="Normal 31 3 7 4 3" xfId="10671" xr:uid="{00000000-0005-0000-0000-0000BB210000}"/>
    <cellStyle name="Normal 31 3 7 5" xfId="3104" xr:uid="{00000000-0005-0000-0000-0000BC210000}"/>
    <cellStyle name="Normal 31 3 7 5 2" xfId="6961" xr:uid="{00000000-0005-0000-0000-0000BD210000}"/>
    <cellStyle name="Normal 31 3 7 5 3" xfId="11877" xr:uid="{00000000-0005-0000-0000-0000BE210000}"/>
    <cellStyle name="Normal 31 3 7 6" xfId="4513" xr:uid="{00000000-0005-0000-0000-0000BF210000}"/>
    <cellStyle name="Normal 31 3 7 6 2" xfId="9429" xr:uid="{00000000-0005-0000-0000-0000C0210000}"/>
    <cellStyle name="Normal 31 3 7 7" xfId="8186" xr:uid="{00000000-0005-0000-0000-0000C1210000}"/>
    <cellStyle name="Normal 31 3 8" xfId="491" xr:uid="{00000000-0005-0000-0000-0000C2210000}"/>
    <cellStyle name="Normal 31 3 8 2" xfId="841" xr:uid="{00000000-0005-0000-0000-0000C3210000}"/>
    <cellStyle name="Normal 31 3 8 2 2" xfId="1479" xr:uid="{00000000-0005-0000-0000-0000C4210000}"/>
    <cellStyle name="Normal 31 3 8 2 2 2" xfId="2705" xr:uid="{00000000-0005-0000-0000-0000C5210000}"/>
    <cellStyle name="Normal 31 3 8 2 2 2 2" xfId="6565" xr:uid="{00000000-0005-0000-0000-0000C6210000}"/>
    <cellStyle name="Normal 31 3 8 2 2 2 3" xfId="11517" xr:uid="{00000000-0005-0000-0000-0000C7210000}"/>
    <cellStyle name="Normal 31 3 8 2 2 3" xfId="3933" xr:uid="{00000000-0005-0000-0000-0000C8210000}"/>
    <cellStyle name="Normal 31 3 8 2 2 3 2" xfId="7789" xr:uid="{00000000-0005-0000-0000-0000C9210000}"/>
    <cellStyle name="Normal 31 3 8 2 2 3 3" xfId="10275" xr:uid="{00000000-0005-0000-0000-0000CA210000}"/>
    <cellStyle name="Normal 31 3 8 2 2 4" xfId="5341" xr:uid="{00000000-0005-0000-0000-0000CB210000}"/>
    <cellStyle name="Normal 31 3 8 2 2 5" xfId="9033" xr:uid="{00000000-0005-0000-0000-0000CC210000}"/>
    <cellStyle name="Normal 31 3 8 2 3" xfId="2093" xr:uid="{00000000-0005-0000-0000-0000CD210000}"/>
    <cellStyle name="Normal 31 3 8 2 3 2" xfId="5953" xr:uid="{00000000-0005-0000-0000-0000CE210000}"/>
    <cellStyle name="Normal 31 3 8 2 3 3" xfId="10869" xr:uid="{00000000-0005-0000-0000-0000CF210000}"/>
    <cellStyle name="Normal 31 3 8 2 4" xfId="3321" xr:uid="{00000000-0005-0000-0000-0000D0210000}"/>
    <cellStyle name="Normal 31 3 8 2 4 2" xfId="7177" xr:uid="{00000000-0005-0000-0000-0000D1210000}"/>
    <cellStyle name="Normal 31 3 8 2 4 3" xfId="9627" xr:uid="{00000000-0005-0000-0000-0000D2210000}"/>
    <cellStyle name="Normal 31 3 8 2 5" xfId="4729" xr:uid="{00000000-0005-0000-0000-0000D3210000}"/>
    <cellStyle name="Normal 31 3 8 2 6" xfId="8384" xr:uid="{00000000-0005-0000-0000-0000D4210000}"/>
    <cellStyle name="Normal 31 3 8 3" xfId="1173" xr:uid="{00000000-0005-0000-0000-0000D5210000}"/>
    <cellStyle name="Normal 31 3 8 3 2" xfId="2399" xr:uid="{00000000-0005-0000-0000-0000D6210000}"/>
    <cellStyle name="Normal 31 3 8 3 2 2" xfId="6259" xr:uid="{00000000-0005-0000-0000-0000D7210000}"/>
    <cellStyle name="Normal 31 3 8 3 2 3" xfId="11211" xr:uid="{00000000-0005-0000-0000-0000D8210000}"/>
    <cellStyle name="Normal 31 3 8 3 3" xfId="3627" xr:uid="{00000000-0005-0000-0000-0000D9210000}"/>
    <cellStyle name="Normal 31 3 8 3 3 2" xfId="7483" xr:uid="{00000000-0005-0000-0000-0000DA210000}"/>
    <cellStyle name="Normal 31 3 8 3 3 3" xfId="9969" xr:uid="{00000000-0005-0000-0000-0000DB210000}"/>
    <cellStyle name="Normal 31 3 8 3 4" xfId="5035" xr:uid="{00000000-0005-0000-0000-0000DC210000}"/>
    <cellStyle name="Normal 31 3 8 3 5" xfId="8727" xr:uid="{00000000-0005-0000-0000-0000DD210000}"/>
    <cellStyle name="Normal 31 3 8 4" xfId="1787" xr:uid="{00000000-0005-0000-0000-0000DE210000}"/>
    <cellStyle name="Normal 31 3 8 4 2" xfId="5647" xr:uid="{00000000-0005-0000-0000-0000DF210000}"/>
    <cellStyle name="Normal 31 3 8 4 3" xfId="10581" xr:uid="{00000000-0005-0000-0000-0000E0210000}"/>
    <cellStyle name="Normal 31 3 8 5" xfId="3014" xr:uid="{00000000-0005-0000-0000-0000E1210000}"/>
    <cellStyle name="Normal 31 3 8 5 2" xfId="6871" xr:uid="{00000000-0005-0000-0000-0000E2210000}"/>
    <cellStyle name="Normal 31 3 8 5 3" xfId="12057" xr:uid="{00000000-0005-0000-0000-0000E3210000}"/>
    <cellStyle name="Normal 31 3 8 6" xfId="4423" xr:uid="{00000000-0005-0000-0000-0000E4210000}"/>
    <cellStyle name="Normal 31 3 8 6 2" xfId="9339" xr:uid="{00000000-0005-0000-0000-0000E5210000}"/>
    <cellStyle name="Normal 31 3 8 7" xfId="8096" xr:uid="{00000000-0005-0000-0000-0000E6210000}"/>
    <cellStyle name="Normal 31 3 9" xfId="803" xr:uid="{00000000-0005-0000-0000-0000E7210000}"/>
    <cellStyle name="Normal 31 3 9 2" xfId="1443" xr:uid="{00000000-0005-0000-0000-0000E8210000}"/>
    <cellStyle name="Normal 31 3 9 2 2" xfId="2669" xr:uid="{00000000-0005-0000-0000-0000E9210000}"/>
    <cellStyle name="Normal 31 3 9 2 2 2" xfId="6529" xr:uid="{00000000-0005-0000-0000-0000EA210000}"/>
    <cellStyle name="Normal 31 3 9 2 2 3" xfId="11481" xr:uid="{00000000-0005-0000-0000-0000EB210000}"/>
    <cellStyle name="Normal 31 3 9 2 3" xfId="3897" xr:uid="{00000000-0005-0000-0000-0000EC210000}"/>
    <cellStyle name="Normal 31 3 9 2 3 2" xfId="7753" xr:uid="{00000000-0005-0000-0000-0000ED210000}"/>
    <cellStyle name="Normal 31 3 9 2 3 3" xfId="10239" xr:uid="{00000000-0005-0000-0000-0000EE210000}"/>
    <cellStyle name="Normal 31 3 9 2 4" xfId="5305" xr:uid="{00000000-0005-0000-0000-0000EF210000}"/>
    <cellStyle name="Normal 31 3 9 2 5" xfId="8997" xr:uid="{00000000-0005-0000-0000-0000F0210000}"/>
    <cellStyle name="Normal 31 3 9 3" xfId="2057" xr:uid="{00000000-0005-0000-0000-0000F1210000}"/>
    <cellStyle name="Normal 31 3 9 3 2" xfId="5917" xr:uid="{00000000-0005-0000-0000-0000F2210000}"/>
    <cellStyle name="Normal 31 3 9 3 3" xfId="10851" xr:uid="{00000000-0005-0000-0000-0000F3210000}"/>
    <cellStyle name="Normal 31 3 9 4" xfId="3285" xr:uid="{00000000-0005-0000-0000-0000F4210000}"/>
    <cellStyle name="Normal 31 3 9 4 2" xfId="7141" xr:uid="{00000000-0005-0000-0000-0000F5210000}"/>
    <cellStyle name="Normal 31 3 9 4 3" xfId="9609" xr:uid="{00000000-0005-0000-0000-0000F6210000}"/>
    <cellStyle name="Normal 31 3 9 5" xfId="4693" xr:uid="{00000000-0005-0000-0000-0000F7210000}"/>
    <cellStyle name="Normal 31 3 9 6" xfId="8366" xr:uid="{00000000-0005-0000-0000-0000F8210000}"/>
    <cellStyle name="Normal 31 4" xfId="454" xr:uid="{00000000-0005-0000-0000-0000F9210000}"/>
    <cellStyle name="Normal 31 4 10" xfId="1753" xr:uid="{00000000-0005-0000-0000-0000FA210000}"/>
    <cellStyle name="Normal 31 4 10 2" xfId="5613" xr:uid="{00000000-0005-0000-0000-0000FB210000}"/>
    <cellStyle name="Normal 31 4 10 3" xfId="10547" xr:uid="{00000000-0005-0000-0000-0000FC210000}"/>
    <cellStyle name="Normal 31 4 11" xfId="2980" xr:uid="{00000000-0005-0000-0000-0000FD210000}"/>
    <cellStyle name="Normal 31 4 11 2" xfId="6837" xr:uid="{00000000-0005-0000-0000-0000FE210000}"/>
    <cellStyle name="Normal 31 4 11 3" xfId="11789" xr:uid="{00000000-0005-0000-0000-0000FF210000}"/>
    <cellStyle name="Normal 31 4 12" xfId="4389" xr:uid="{00000000-0005-0000-0000-000000220000}"/>
    <cellStyle name="Normal 31 4 12 2" xfId="9305" xr:uid="{00000000-0005-0000-0000-000001220000}"/>
    <cellStyle name="Normal 31 4 13" xfId="8062" xr:uid="{00000000-0005-0000-0000-000002220000}"/>
    <cellStyle name="Normal 31 4 2" xfId="475" xr:uid="{00000000-0005-0000-0000-000003220000}"/>
    <cellStyle name="Normal 31 4 2 10" xfId="4407" xr:uid="{00000000-0005-0000-0000-000004220000}"/>
    <cellStyle name="Normal 31 4 2 10 2" xfId="9323" xr:uid="{00000000-0005-0000-0000-000005220000}"/>
    <cellStyle name="Normal 31 4 2 11" xfId="8080" xr:uid="{00000000-0005-0000-0000-000006220000}"/>
    <cellStyle name="Normal 31 4 2 2" xfId="588" xr:uid="{00000000-0005-0000-0000-000007220000}"/>
    <cellStyle name="Normal 31 4 2 2 2" xfId="769" xr:uid="{00000000-0005-0000-0000-000008220000}"/>
    <cellStyle name="Normal 31 4 2 2 2 2" xfId="1119" xr:uid="{00000000-0005-0000-0000-000009220000}"/>
    <cellStyle name="Normal 31 4 2 2 2 2 2" xfId="1733" xr:uid="{00000000-0005-0000-0000-00000A220000}"/>
    <cellStyle name="Normal 31 4 2 2 2 2 2 2" xfId="2959" xr:uid="{00000000-0005-0000-0000-00000B220000}"/>
    <cellStyle name="Normal 31 4 2 2 2 2 2 2 2" xfId="6819" xr:uid="{00000000-0005-0000-0000-00000C220000}"/>
    <cellStyle name="Normal 31 4 2 2 2 2 2 2 3" xfId="11771" xr:uid="{00000000-0005-0000-0000-00000D220000}"/>
    <cellStyle name="Normal 31 4 2 2 2 2 2 3" xfId="4187" xr:uid="{00000000-0005-0000-0000-00000E220000}"/>
    <cellStyle name="Normal 31 4 2 2 2 2 2 3 2" xfId="8043" xr:uid="{00000000-0005-0000-0000-00000F220000}"/>
    <cellStyle name="Normal 31 4 2 2 2 2 2 3 3" xfId="10529" xr:uid="{00000000-0005-0000-0000-000010220000}"/>
    <cellStyle name="Normal 31 4 2 2 2 2 2 4" xfId="5595" xr:uid="{00000000-0005-0000-0000-000011220000}"/>
    <cellStyle name="Normal 31 4 2 2 2 2 2 5" xfId="9287" xr:uid="{00000000-0005-0000-0000-000012220000}"/>
    <cellStyle name="Normal 31 4 2 2 2 2 3" xfId="2347" xr:uid="{00000000-0005-0000-0000-000013220000}"/>
    <cellStyle name="Normal 31 4 2 2 2 2 3 2" xfId="6207" xr:uid="{00000000-0005-0000-0000-000014220000}"/>
    <cellStyle name="Normal 31 4 2 2 2 2 3 3" xfId="11123" xr:uid="{00000000-0005-0000-0000-000015220000}"/>
    <cellStyle name="Normal 31 4 2 2 2 2 4" xfId="3575" xr:uid="{00000000-0005-0000-0000-000016220000}"/>
    <cellStyle name="Normal 31 4 2 2 2 2 4 2" xfId="7431" xr:uid="{00000000-0005-0000-0000-000017220000}"/>
    <cellStyle name="Normal 31 4 2 2 2 2 4 3" xfId="9881" xr:uid="{00000000-0005-0000-0000-000018220000}"/>
    <cellStyle name="Normal 31 4 2 2 2 2 5" xfId="4983" xr:uid="{00000000-0005-0000-0000-000019220000}"/>
    <cellStyle name="Normal 31 4 2 2 2 2 6" xfId="8638" xr:uid="{00000000-0005-0000-0000-00001A220000}"/>
    <cellStyle name="Normal 31 4 2 2 2 3" xfId="1427" xr:uid="{00000000-0005-0000-0000-00001B220000}"/>
    <cellStyle name="Normal 31 4 2 2 2 3 2" xfId="2653" xr:uid="{00000000-0005-0000-0000-00001C220000}"/>
    <cellStyle name="Normal 31 4 2 2 2 3 2 2" xfId="6513" xr:uid="{00000000-0005-0000-0000-00001D220000}"/>
    <cellStyle name="Normal 31 4 2 2 2 3 2 3" xfId="11465" xr:uid="{00000000-0005-0000-0000-00001E220000}"/>
    <cellStyle name="Normal 31 4 2 2 2 3 3" xfId="3881" xr:uid="{00000000-0005-0000-0000-00001F220000}"/>
    <cellStyle name="Normal 31 4 2 2 2 3 3 2" xfId="7737" xr:uid="{00000000-0005-0000-0000-000020220000}"/>
    <cellStyle name="Normal 31 4 2 2 2 3 3 3" xfId="10223" xr:uid="{00000000-0005-0000-0000-000021220000}"/>
    <cellStyle name="Normal 31 4 2 2 2 3 4" xfId="5289" xr:uid="{00000000-0005-0000-0000-000022220000}"/>
    <cellStyle name="Normal 31 4 2 2 2 3 5" xfId="8981" xr:uid="{00000000-0005-0000-0000-000023220000}"/>
    <cellStyle name="Normal 31 4 2 2 2 4" xfId="2041" xr:uid="{00000000-0005-0000-0000-000024220000}"/>
    <cellStyle name="Normal 31 4 2 2 2 4 2" xfId="5901" xr:uid="{00000000-0005-0000-0000-000025220000}"/>
    <cellStyle name="Normal 31 4 2 2 2 4 3" xfId="10835" xr:uid="{00000000-0005-0000-0000-000026220000}"/>
    <cellStyle name="Normal 31 4 2 2 2 5" xfId="3268" xr:uid="{00000000-0005-0000-0000-000027220000}"/>
    <cellStyle name="Normal 31 4 2 2 2 5 2" xfId="7125" xr:uid="{00000000-0005-0000-0000-000028220000}"/>
    <cellStyle name="Normal 31 4 2 2 2 5 3" xfId="12041" xr:uid="{00000000-0005-0000-0000-000029220000}"/>
    <cellStyle name="Normal 31 4 2 2 2 6" xfId="4677" xr:uid="{00000000-0005-0000-0000-00002A220000}"/>
    <cellStyle name="Normal 31 4 2 2 2 6 2" xfId="9593" xr:uid="{00000000-0005-0000-0000-00002B220000}"/>
    <cellStyle name="Normal 31 4 2 2 2 7" xfId="8350" xr:uid="{00000000-0005-0000-0000-00002C220000}"/>
    <cellStyle name="Normal 31 4 2 2 3" xfId="679" xr:uid="{00000000-0005-0000-0000-00002D220000}"/>
    <cellStyle name="Normal 31 4 2 2 3 2" xfId="1029" xr:uid="{00000000-0005-0000-0000-00002E220000}"/>
    <cellStyle name="Normal 31 4 2 2 3 2 2" xfId="1643" xr:uid="{00000000-0005-0000-0000-00002F220000}"/>
    <cellStyle name="Normal 31 4 2 2 3 2 2 2" xfId="2869" xr:uid="{00000000-0005-0000-0000-000030220000}"/>
    <cellStyle name="Normal 31 4 2 2 3 2 2 2 2" xfId="6729" xr:uid="{00000000-0005-0000-0000-000031220000}"/>
    <cellStyle name="Normal 31 4 2 2 3 2 2 2 3" xfId="11681" xr:uid="{00000000-0005-0000-0000-000032220000}"/>
    <cellStyle name="Normal 31 4 2 2 3 2 2 3" xfId="4097" xr:uid="{00000000-0005-0000-0000-000033220000}"/>
    <cellStyle name="Normal 31 4 2 2 3 2 2 3 2" xfId="7953" xr:uid="{00000000-0005-0000-0000-000034220000}"/>
    <cellStyle name="Normal 31 4 2 2 3 2 2 3 3" xfId="10439" xr:uid="{00000000-0005-0000-0000-000035220000}"/>
    <cellStyle name="Normal 31 4 2 2 3 2 2 4" xfId="5505" xr:uid="{00000000-0005-0000-0000-000036220000}"/>
    <cellStyle name="Normal 31 4 2 2 3 2 2 5" xfId="9197" xr:uid="{00000000-0005-0000-0000-000037220000}"/>
    <cellStyle name="Normal 31 4 2 2 3 2 3" xfId="2257" xr:uid="{00000000-0005-0000-0000-000038220000}"/>
    <cellStyle name="Normal 31 4 2 2 3 2 3 2" xfId="6117" xr:uid="{00000000-0005-0000-0000-000039220000}"/>
    <cellStyle name="Normal 31 4 2 2 3 2 3 3" xfId="11033" xr:uid="{00000000-0005-0000-0000-00003A220000}"/>
    <cellStyle name="Normal 31 4 2 2 3 2 4" xfId="3485" xr:uid="{00000000-0005-0000-0000-00003B220000}"/>
    <cellStyle name="Normal 31 4 2 2 3 2 4 2" xfId="7341" xr:uid="{00000000-0005-0000-0000-00003C220000}"/>
    <cellStyle name="Normal 31 4 2 2 3 2 4 3" xfId="9791" xr:uid="{00000000-0005-0000-0000-00003D220000}"/>
    <cellStyle name="Normal 31 4 2 2 3 2 5" xfId="4893" xr:uid="{00000000-0005-0000-0000-00003E220000}"/>
    <cellStyle name="Normal 31 4 2 2 3 2 6" xfId="8548" xr:uid="{00000000-0005-0000-0000-00003F220000}"/>
    <cellStyle name="Normal 31 4 2 2 3 3" xfId="1337" xr:uid="{00000000-0005-0000-0000-000040220000}"/>
    <cellStyle name="Normal 31 4 2 2 3 3 2" xfId="2563" xr:uid="{00000000-0005-0000-0000-000041220000}"/>
    <cellStyle name="Normal 31 4 2 2 3 3 2 2" xfId="6423" xr:uid="{00000000-0005-0000-0000-000042220000}"/>
    <cellStyle name="Normal 31 4 2 2 3 3 2 3" xfId="11375" xr:uid="{00000000-0005-0000-0000-000043220000}"/>
    <cellStyle name="Normal 31 4 2 2 3 3 3" xfId="3791" xr:uid="{00000000-0005-0000-0000-000044220000}"/>
    <cellStyle name="Normal 31 4 2 2 3 3 3 2" xfId="7647" xr:uid="{00000000-0005-0000-0000-000045220000}"/>
    <cellStyle name="Normal 31 4 2 2 3 3 3 3" xfId="10133" xr:uid="{00000000-0005-0000-0000-000046220000}"/>
    <cellStyle name="Normal 31 4 2 2 3 3 4" xfId="5199" xr:uid="{00000000-0005-0000-0000-000047220000}"/>
    <cellStyle name="Normal 31 4 2 2 3 3 5" xfId="8891" xr:uid="{00000000-0005-0000-0000-000048220000}"/>
    <cellStyle name="Normal 31 4 2 2 3 4" xfId="1951" xr:uid="{00000000-0005-0000-0000-000049220000}"/>
    <cellStyle name="Normal 31 4 2 2 3 4 2" xfId="5811" xr:uid="{00000000-0005-0000-0000-00004A220000}"/>
    <cellStyle name="Normal 31 4 2 2 3 4 3" xfId="10745" xr:uid="{00000000-0005-0000-0000-00004B220000}"/>
    <cellStyle name="Normal 31 4 2 2 3 5" xfId="3178" xr:uid="{00000000-0005-0000-0000-00004C220000}"/>
    <cellStyle name="Normal 31 4 2 2 3 5 2" xfId="7035" xr:uid="{00000000-0005-0000-0000-00004D220000}"/>
    <cellStyle name="Normal 31 4 2 2 3 5 3" xfId="11951" xr:uid="{00000000-0005-0000-0000-00004E220000}"/>
    <cellStyle name="Normal 31 4 2 2 3 6" xfId="4587" xr:uid="{00000000-0005-0000-0000-00004F220000}"/>
    <cellStyle name="Normal 31 4 2 2 3 6 2" xfId="9503" xr:uid="{00000000-0005-0000-0000-000050220000}"/>
    <cellStyle name="Normal 31 4 2 2 3 7" xfId="8260" xr:uid="{00000000-0005-0000-0000-000051220000}"/>
    <cellStyle name="Normal 31 4 2 2 4" xfId="938" xr:uid="{00000000-0005-0000-0000-000052220000}"/>
    <cellStyle name="Normal 31 4 2 2 4 2" xfId="1553" xr:uid="{00000000-0005-0000-0000-000053220000}"/>
    <cellStyle name="Normal 31 4 2 2 4 2 2" xfId="2779" xr:uid="{00000000-0005-0000-0000-000054220000}"/>
    <cellStyle name="Normal 31 4 2 2 4 2 2 2" xfId="6639" xr:uid="{00000000-0005-0000-0000-000055220000}"/>
    <cellStyle name="Normal 31 4 2 2 4 2 2 3" xfId="11591" xr:uid="{00000000-0005-0000-0000-000056220000}"/>
    <cellStyle name="Normal 31 4 2 2 4 2 3" xfId="4007" xr:uid="{00000000-0005-0000-0000-000057220000}"/>
    <cellStyle name="Normal 31 4 2 2 4 2 3 2" xfId="7863" xr:uid="{00000000-0005-0000-0000-000058220000}"/>
    <cellStyle name="Normal 31 4 2 2 4 2 3 3" xfId="10349" xr:uid="{00000000-0005-0000-0000-000059220000}"/>
    <cellStyle name="Normal 31 4 2 2 4 2 4" xfId="5415" xr:uid="{00000000-0005-0000-0000-00005A220000}"/>
    <cellStyle name="Normal 31 4 2 2 4 2 5" xfId="9107" xr:uid="{00000000-0005-0000-0000-00005B220000}"/>
    <cellStyle name="Normal 31 4 2 2 4 3" xfId="2167" xr:uid="{00000000-0005-0000-0000-00005C220000}"/>
    <cellStyle name="Normal 31 4 2 2 4 3 2" xfId="6027" xr:uid="{00000000-0005-0000-0000-00005D220000}"/>
    <cellStyle name="Normal 31 4 2 2 4 3 3" xfId="10943" xr:uid="{00000000-0005-0000-0000-00005E220000}"/>
    <cellStyle name="Normal 31 4 2 2 4 4" xfId="3395" xr:uid="{00000000-0005-0000-0000-00005F220000}"/>
    <cellStyle name="Normal 31 4 2 2 4 4 2" xfId="7251" xr:uid="{00000000-0005-0000-0000-000060220000}"/>
    <cellStyle name="Normal 31 4 2 2 4 4 3" xfId="9701" xr:uid="{00000000-0005-0000-0000-000061220000}"/>
    <cellStyle name="Normal 31 4 2 2 4 5" xfId="4803" xr:uid="{00000000-0005-0000-0000-000062220000}"/>
    <cellStyle name="Normal 31 4 2 2 4 6" xfId="8458" xr:uid="{00000000-0005-0000-0000-000063220000}"/>
    <cellStyle name="Normal 31 4 2 2 5" xfId="1247" xr:uid="{00000000-0005-0000-0000-000064220000}"/>
    <cellStyle name="Normal 31 4 2 2 5 2" xfId="2473" xr:uid="{00000000-0005-0000-0000-000065220000}"/>
    <cellStyle name="Normal 31 4 2 2 5 2 2" xfId="6333" xr:uid="{00000000-0005-0000-0000-000066220000}"/>
    <cellStyle name="Normal 31 4 2 2 5 2 3" xfId="11285" xr:uid="{00000000-0005-0000-0000-000067220000}"/>
    <cellStyle name="Normal 31 4 2 2 5 3" xfId="3701" xr:uid="{00000000-0005-0000-0000-000068220000}"/>
    <cellStyle name="Normal 31 4 2 2 5 3 2" xfId="7557" xr:uid="{00000000-0005-0000-0000-000069220000}"/>
    <cellStyle name="Normal 31 4 2 2 5 3 3" xfId="10043" xr:uid="{00000000-0005-0000-0000-00006A220000}"/>
    <cellStyle name="Normal 31 4 2 2 5 4" xfId="5109" xr:uid="{00000000-0005-0000-0000-00006B220000}"/>
    <cellStyle name="Normal 31 4 2 2 5 5" xfId="8801" xr:uid="{00000000-0005-0000-0000-00006C220000}"/>
    <cellStyle name="Normal 31 4 2 2 6" xfId="1861" xr:uid="{00000000-0005-0000-0000-00006D220000}"/>
    <cellStyle name="Normal 31 4 2 2 6 2" xfId="5721" xr:uid="{00000000-0005-0000-0000-00006E220000}"/>
    <cellStyle name="Normal 31 4 2 2 6 3" xfId="10655" xr:uid="{00000000-0005-0000-0000-00006F220000}"/>
    <cellStyle name="Normal 31 4 2 2 7" xfId="3088" xr:uid="{00000000-0005-0000-0000-000070220000}"/>
    <cellStyle name="Normal 31 4 2 2 7 2" xfId="6945" xr:uid="{00000000-0005-0000-0000-000071220000}"/>
    <cellStyle name="Normal 31 4 2 2 7 3" xfId="11861" xr:uid="{00000000-0005-0000-0000-000072220000}"/>
    <cellStyle name="Normal 31 4 2 2 8" xfId="4497" xr:uid="{00000000-0005-0000-0000-000073220000}"/>
    <cellStyle name="Normal 31 4 2 2 8 2" xfId="9413" xr:uid="{00000000-0005-0000-0000-000074220000}"/>
    <cellStyle name="Normal 31 4 2 2 9" xfId="8170" xr:uid="{00000000-0005-0000-0000-000075220000}"/>
    <cellStyle name="Normal 31 4 2 3" xfId="733" xr:uid="{00000000-0005-0000-0000-000076220000}"/>
    <cellStyle name="Normal 31 4 2 3 2" xfId="1083" xr:uid="{00000000-0005-0000-0000-000077220000}"/>
    <cellStyle name="Normal 31 4 2 3 2 2" xfId="1697" xr:uid="{00000000-0005-0000-0000-000078220000}"/>
    <cellStyle name="Normal 31 4 2 3 2 2 2" xfId="2923" xr:uid="{00000000-0005-0000-0000-000079220000}"/>
    <cellStyle name="Normal 31 4 2 3 2 2 2 2" xfId="6783" xr:uid="{00000000-0005-0000-0000-00007A220000}"/>
    <cellStyle name="Normal 31 4 2 3 2 2 2 3" xfId="11735" xr:uid="{00000000-0005-0000-0000-00007B220000}"/>
    <cellStyle name="Normal 31 4 2 3 2 2 3" xfId="4151" xr:uid="{00000000-0005-0000-0000-00007C220000}"/>
    <cellStyle name="Normal 31 4 2 3 2 2 3 2" xfId="8007" xr:uid="{00000000-0005-0000-0000-00007D220000}"/>
    <cellStyle name="Normal 31 4 2 3 2 2 3 3" xfId="10493" xr:uid="{00000000-0005-0000-0000-00007E220000}"/>
    <cellStyle name="Normal 31 4 2 3 2 2 4" xfId="5559" xr:uid="{00000000-0005-0000-0000-00007F220000}"/>
    <cellStyle name="Normal 31 4 2 3 2 2 5" xfId="9251" xr:uid="{00000000-0005-0000-0000-000080220000}"/>
    <cellStyle name="Normal 31 4 2 3 2 3" xfId="2311" xr:uid="{00000000-0005-0000-0000-000081220000}"/>
    <cellStyle name="Normal 31 4 2 3 2 3 2" xfId="6171" xr:uid="{00000000-0005-0000-0000-000082220000}"/>
    <cellStyle name="Normal 31 4 2 3 2 3 3" xfId="11087" xr:uid="{00000000-0005-0000-0000-000083220000}"/>
    <cellStyle name="Normal 31 4 2 3 2 4" xfId="3539" xr:uid="{00000000-0005-0000-0000-000084220000}"/>
    <cellStyle name="Normal 31 4 2 3 2 4 2" xfId="7395" xr:uid="{00000000-0005-0000-0000-000085220000}"/>
    <cellStyle name="Normal 31 4 2 3 2 4 3" xfId="9845" xr:uid="{00000000-0005-0000-0000-000086220000}"/>
    <cellStyle name="Normal 31 4 2 3 2 5" xfId="4947" xr:uid="{00000000-0005-0000-0000-000087220000}"/>
    <cellStyle name="Normal 31 4 2 3 2 6" xfId="8602" xr:uid="{00000000-0005-0000-0000-000088220000}"/>
    <cellStyle name="Normal 31 4 2 3 3" xfId="1391" xr:uid="{00000000-0005-0000-0000-000089220000}"/>
    <cellStyle name="Normal 31 4 2 3 3 2" xfId="2617" xr:uid="{00000000-0005-0000-0000-00008A220000}"/>
    <cellStyle name="Normal 31 4 2 3 3 2 2" xfId="6477" xr:uid="{00000000-0005-0000-0000-00008B220000}"/>
    <cellStyle name="Normal 31 4 2 3 3 2 3" xfId="11429" xr:uid="{00000000-0005-0000-0000-00008C220000}"/>
    <cellStyle name="Normal 31 4 2 3 3 3" xfId="3845" xr:uid="{00000000-0005-0000-0000-00008D220000}"/>
    <cellStyle name="Normal 31 4 2 3 3 3 2" xfId="7701" xr:uid="{00000000-0005-0000-0000-00008E220000}"/>
    <cellStyle name="Normal 31 4 2 3 3 3 3" xfId="10187" xr:uid="{00000000-0005-0000-0000-00008F220000}"/>
    <cellStyle name="Normal 31 4 2 3 3 4" xfId="5253" xr:uid="{00000000-0005-0000-0000-000090220000}"/>
    <cellStyle name="Normal 31 4 2 3 3 5" xfId="8945" xr:uid="{00000000-0005-0000-0000-000091220000}"/>
    <cellStyle name="Normal 31 4 2 3 4" xfId="2005" xr:uid="{00000000-0005-0000-0000-000092220000}"/>
    <cellStyle name="Normal 31 4 2 3 4 2" xfId="5865" xr:uid="{00000000-0005-0000-0000-000093220000}"/>
    <cellStyle name="Normal 31 4 2 3 4 3" xfId="10799" xr:uid="{00000000-0005-0000-0000-000094220000}"/>
    <cellStyle name="Normal 31 4 2 3 5" xfId="3232" xr:uid="{00000000-0005-0000-0000-000095220000}"/>
    <cellStyle name="Normal 31 4 2 3 5 2" xfId="7089" xr:uid="{00000000-0005-0000-0000-000096220000}"/>
    <cellStyle name="Normal 31 4 2 3 5 3" xfId="12005" xr:uid="{00000000-0005-0000-0000-000097220000}"/>
    <cellStyle name="Normal 31 4 2 3 6" xfId="4641" xr:uid="{00000000-0005-0000-0000-000098220000}"/>
    <cellStyle name="Normal 31 4 2 3 6 2" xfId="9557" xr:uid="{00000000-0005-0000-0000-000099220000}"/>
    <cellStyle name="Normal 31 4 2 3 7" xfId="8314" xr:uid="{00000000-0005-0000-0000-00009A220000}"/>
    <cellStyle name="Normal 31 4 2 4" xfId="643" xr:uid="{00000000-0005-0000-0000-00009B220000}"/>
    <cellStyle name="Normal 31 4 2 4 2" xfId="993" xr:uid="{00000000-0005-0000-0000-00009C220000}"/>
    <cellStyle name="Normal 31 4 2 4 2 2" xfId="1607" xr:uid="{00000000-0005-0000-0000-00009D220000}"/>
    <cellStyle name="Normal 31 4 2 4 2 2 2" xfId="2833" xr:uid="{00000000-0005-0000-0000-00009E220000}"/>
    <cellStyle name="Normal 31 4 2 4 2 2 2 2" xfId="6693" xr:uid="{00000000-0005-0000-0000-00009F220000}"/>
    <cellStyle name="Normal 31 4 2 4 2 2 2 3" xfId="11645" xr:uid="{00000000-0005-0000-0000-0000A0220000}"/>
    <cellStyle name="Normal 31 4 2 4 2 2 3" xfId="4061" xr:uid="{00000000-0005-0000-0000-0000A1220000}"/>
    <cellStyle name="Normal 31 4 2 4 2 2 3 2" xfId="7917" xr:uid="{00000000-0005-0000-0000-0000A2220000}"/>
    <cellStyle name="Normal 31 4 2 4 2 2 3 3" xfId="10403" xr:uid="{00000000-0005-0000-0000-0000A3220000}"/>
    <cellStyle name="Normal 31 4 2 4 2 2 4" xfId="5469" xr:uid="{00000000-0005-0000-0000-0000A4220000}"/>
    <cellStyle name="Normal 31 4 2 4 2 2 5" xfId="9161" xr:uid="{00000000-0005-0000-0000-0000A5220000}"/>
    <cellStyle name="Normal 31 4 2 4 2 3" xfId="2221" xr:uid="{00000000-0005-0000-0000-0000A6220000}"/>
    <cellStyle name="Normal 31 4 2 4 2 3 2" xfId="6081" xr:uid="{00000000-0005-0000-0000-0000A7220000}"/>
    <cellStyle name="Normal 31 4 2 4 2 3 3" xfId="10997" xr:uid="{00000000-0005-0000-0000-0000A8220000}"/>
    <cellStyle name="Normal 31 4 2 4 2 4" xfId="3449" xr:uid="{00000000-0005-0000-0000-0000A9220000}"/>
    <cellStyle name="Normal 31 4 2 4 2 4 2" xfId="7305" xr:uid="{00000000-0005-0000-0000-0000AA220000}"/>
    <cellStyle name="Normal 31 4 2 4 2 4 3" xfId="9755" xr:uid="{00000000-0005-0000-0000-0000AB220000}"/>
    <cellStyle name="Normal 31 4 2 4 2 5" xfId="4857" xr:uid="{00000000-0005-0000-0000-0000AC220000}"/>
    <cellStyle name="Normal 31 4 2 4 2 6" xfId="8512" xr:uid="{00000000-0005-0000-0000-0000AD220000}"/>
    <cellStyle name="Normal 31 4 2 4 3" xfId="1301" xr:uid="{00000000-0005-0000-0000-0000AE220000}"/>
    <cellStyle name="Normal 31 4 2 4 3 2" xfId="2527" xr:uid="{00000000-0005-0000-0000-0000AF220000}"/>
    <cellStyle name="Normal 31 4 2 4 3 2 2" xfId="6387" xr:uid="{00000000-0005-0000-0000-0000B0220000}"/>
    <cellStyle name="Normal 31 4 2 4 3 2 3" xfId="11339" xr:uid="{00000000-0005-0000-0000-0000B1220000}"/>
    <cellStyle name="Normal 31 4 2 4 3 3" xfId="3755" xr:uid="{00000000-0005-0000-0000-0000B2220000}"/>
    <cellStyle name="Normal 31 4 2 4 3 3 2" xfId="7611" xr:uid="{00000000-0005-0000-0000-0000B3220000}"/>
    <cellStyle name="Normal 31 4 2 4 3 3 3" xfId="10097" xr:uid="{00000000-0005-0000-0000-0000B4220000}"/>
    <cellStyle name="Normal 31 4 2 4 3 4" xfId="5163" xr:uid="{00000000-0005-0000-0000-0000B5220000}"/>
    <cellStyle name="Normal 31 4 2 4 3 5" xfId="8855" xr:uid="{00000000-0005-0000-0000-0000B6220000}"/>
    <cellStyle name="Normal 31 4 2 4 4" xfId="1915" xr:uid="{00000000-0005-0000-0000-0000B7220000}"/>
    <cellStyle name="Normal 31 4 2 4 4 2" xfId="5775" xr:uid="{00000000-0005-0000-0000-0000B8220000}"/>
    <cellStyle name="Normal 31 4 2 4 4 3" xfId="10709" xr:uid="{00000000-0005-0000-0000-0000B9220000}"/>
    <cellStyle name="Normal 31 4 2 4 5" xfId="3142" xr:uid="{00000000-0005-0000-0000-0000BA220000}"/>
    <cellStyle name="Normal 31 4 2 4 5 2" xfId="6999" xr:uid="{00000000-0005-0000-0000-0000BB220000}"/>
    <cellStyle name="Normal 31 4 2 4 5 3" xfId="11915" xr:uid="{00000000-0005-0000-0000-0000BC220000}"/>
    <cellStyle name="Normal 31 4 2 4 6" xfId="4551" xr:uid="{00000000-0005-0000-0000-0000BD220000}"/>
    <cellStyle name="Normal 31 4 2 4 6 2" xfId="9467" xr:uid="{00000000-0005-0000-0000-0000BE220000}"/>
    <cellStyle name="Normal 31 4 2 4 7" xfId="8224" xr:uid="{00000000-0005-0000-0000-0000BF220000}"/>
    <cellStyle name="Normal 31 4 2 5" xfId="549" xr:uid="{00000000-0005-0000-0000-0000C0220000}"/>
    <cellStyle name="Normal 31 4 2 5 2" xfId="899" xr:uid="{00000000-0005-0000-0000-0000C1220000}"/>
    <cellStyle name="Normal 31 4 2 5 2 2" xfId="1517" xr:uid="{00000000-0005-0000-0000-0000C2220000}"/>
    <cellStyle name="Normal 31 4 2 5 2 2 2" xfId="2743" xr:uid="{00000000-0005-0000-0000-0000C3220000}"/>
    <cellStyle name="Normal 31 4 2 5 2 2 2 2" xfId="6603" xr:uid="{00000000-0005-0000-0000-0000C4220000}"/>
    <cellStyle name="Normal 31 4 2 5 2 2 2 3" xfId="11555" xr:uid="{00000000-0005-0000-0000-0000C5220000}"/>
    <cellStyle name="Normal 31 4 2 5 2 2 3" xfId="3971" xr:uid="{00000000-0005-0000-0000-0000C6220000}"/>
    <cellStyle name="Normal 31 4 2 5 2 2 3 2" xfId="7827" xr:uid="{00000000-0005-0000-0000-0000C7220000}"/>
    <cellStyle name="Normal 31 4 2 5 2 2 3 3" xfId="10313" xr:uid="{00000000-0005-0000-0000-0000C8220000}"/>
    <cellStyle name="Normal 31 4 2 5 2 2 4" xfId="5379" xr:uid="{00000000-0005-0000-0000-0000C9220000}"/>
    <cellStyle name="Normal 31 4 2 5 2 2 5" xfId="9071" xr:uid="{00000000-0005-0000-0000-0000CA220000}"/>
    <cellStyle name="Normal 31 4 2 5 2 3" xfId="2131" xr:uid="{00000000-0005-0000-0000-0000CB220000}"/>
    <cellStyle name="Normal 31 4 2 5 2 3 2" xfId="5991" xr:uid="{00000000-0005-0000-0000-0000CC220000}"/>
    <cellStyle name="Normal 31 4 2 5 2 3 3" xfId="11159" xr:uid="{00000000-0005-0000-0000-0000CD220000}"/>
    <cellStyle name="Normal 31 4 2 5 2 4" xfId="3359" xr:uid="{00000000-0005-0000-0000-0000CE220000}"/>
    <cellStyle name="Normal 31 4 2 5 2 4 2" xfId="7215" xr:uid="{00000000-0005-0000-0000-0000CF220000}"/>
    <cellStyle name="Normal 31 4 2 5 2 4 3" xfId="9917" xr:uid="{00000000-0005-0000-0000-0000D0220000}"/>
    <cellStyle name="Normal 31 4 2 5 2 5" xfId="4767" xr:uid="{00000000-0005-0000-0000-0000D1220000}"/>
    <cellStyle name="Normal 31 4 2 5 2 6" xfId="8675" xr:uid="{00000000-0005-0000-0000-0000D2220000}"/>
    <cellStyle name="Normal 31 4 2 5 3" xfId="1211" xr:uid="{00000000-0005-0000-0000-0000D3220000}"/>
    <cellStyle name="Normal 31 4 2 5 3 2" xfId="2437" xr:uid="{00000000-0005-0000-0000-0000D4220000}"/>
    <cellStyle name="Normal 31 4 2 5 3 2 2" xfId="6297" xr:uid="{00000000-0005-0000-0000-0000D5220000}"/>
    <cellStyle name="Normal 31 4 2 5 3 2 3" xfId="11249" xr:uid="{00000000-0005-0000-0000-0000D6220000}"/>
    <cellStyle name="Normal 31 4 2 5 3 3" xfId="3665" xr:uid="{00000000-0005-0000-0000-0000D7220000}"/>
    <cellStyle name="Normal 31 4 2 5 3 3 2" xfId="7521" xr:uid="{00000000-0005-0000-0000-0000D8220000}"/>
    <cellStyle name="Normal 31 4 2 5 3 3 3" xfId="10007" xr:uid="{00000000-0005-0000-0000-0000D9220000}"/>
    <cellStyle name="Normal 31 4 2 5 3 4" xfId="5073" xr:uid="{00000000-0005-0000-0000-0000DA220000}"/>
    <cellStyle name="Normal 31 4 2 5 3 5" xfId="8765" xr:uid="{00000000-0005-0000-0000-0000DB220000}"/>
    <cellStyle name="Normal 31 4 2 5 4" xfId="1825" xr:uid="{00000000-0005-0000-0000-0000DC220000}"/>
    <cellStyle name="Normal 31 4 2 5 4 2" xfId="5685" xr:uid="{00000000-0005-0000-0000-0000DD220000}"/>
    <cellStyle name="Normal 31 4 2 5 4 2 2" xfId="11141" xr:uid="{00000000-0005-0000-0000-0000DE220000}"/>
    <cellStyle name="Normal 31 4 2 5 4 3" xfId="9899" xr:uid="{00000000-0005-0000-0000-0000DF220000}"/>
    <cellStyle name="Normal 31 4 2 5 4 4" xfId="8656" xr:uid="{00000000-0005-0000-0000-0000E0220000}"/>
    <cellStyle name="Normal 31 4 2 5 5" xfId="3052" xr:uid="{00000000-0005-0000-0000-0000E1220000}"/>
    <cellStyle name="Normal 31 4 2 5 5 2" xfId="6909" xr:uid="{00000000-0005-0000-0000-0000E2220000}"/>
    <cellStyle name="Normal 31 4 2 5 5 3" xfId="10619" xr:uid="{00000000-0005-0000-0000-0000E3220000}"/>
    <cellStyle name="Normal 31 4 2 5 6" xfId="4461" xr:uid="{00000000-0005-0000-0000-0000E4220000}"/>
    <cellStyle name="Normal 31 4 2 5 6 2" xfId="9377" xr:uid="{00000000-0005-0000-0000-0000E5220000}"/>
    <cellStyle name="Normal 31 4 2 5 7" xfId="8134" xr:uid="{00000000-0005-0000-0000-0000E6220000}"/>
    <cellStyle name="Normal 31 4 2 6" xfId="825" xr:uid="{00000000-0005-0000-0000-0000E7220000}"/>
    <cellStyle name="Normal 31 4 2 6 2" xfId="1463" xr:uid="{00000000-0005-0000-0000-0000E8220000}"/>
    <cellStyle name="Normal 31 4 2 6 2 2" xfId="2689" xr:uid="{00000000-0005-0000-0000-0000E9220000}"/>
    <cellStyle name="Normal 31 4 2 6 2 2 2" xfId="6549" xr:uid="{00000000-0005-0000-0000-0000EA220000}"/>
    <cellStyle name="Normal 31 4 2 6 2 2 3" xfId="11501" xr:uid="{00000000-0005-0000-0000-0000EB220000}"/>
    <cellStyle name="Normal 31 4 2 6 2 3" xfId="3917" xr:uid="{00000000-0005-0000-0000-0000EC220000}"/>
    <cellStyle name="Normal 31 4 2 6 2 3 2" xfId="7773" xr:uid="{00000000-0005-0000-0000-0000ED220000}"/>
    <cellStyle name="Normal 31 4 2 6 2 3 3" xfId="10259" xr:uid="{00000000-0005-0000-0000-0000EE220000}"/>
    <cellStyle name="Normal 31 4 2 6 2 4" xfId="5325" xr:uid="{00000000-0005-0000-0000-0000EF220000}"/>
    <cellStyle name="Normal 31 4 2 6 2 5" xfId="9017" xr:uid="{00000000-0005-0000-0000-0000F0220000}"/>
    <cellStyle name="Normal 31 4 2 6 3" xfId="2077" xr:uid="{00000000-0005-0000-0000-0000F1220000}"/>
    <cellStyle name="Normal 31 4 2 6 3 2" xfId="5937" xr:uid="{00000000-0005-0000-0000-0000F2220000}"/>
    <cellStyle name="Normal 31 4 2 6 3 3" xfId="10907" xr:uid="{00000000-0005-0000-0000-0000F3220000}"/>
    <cellStyle name="Normal 31 4 2 6 4" xfId="3305" xr:uid="{00000000-0005-0000-0000-0000F4220000}"/>
    <cellStyle name="Normal 31 4 2 6 4 2" xfId="7161" xr:uid="{00000000-0005-0000-0000-0000F5220000}"/>
    <cellStyle name="Normal 31 4 2 6 4 3" xfId="9665" xr:uid="{00000000-0005-0000-0000-0000F6220000}"/>
    <cellStyle name="Normal 31 4 2 6 5" xfId="4713" xr:uid="{00000000-0005-0000-0000-0000F7220000}"/>
    <cellStyle name="Normal 31 4 2 6 6" xfId="8422" xr:uid="{00000000-0005-0000-0000-0000F8220000}"/>
    <cellStyle name="Normal 31 4 2 7" xfId="1157" xr:uid="{00000000-0005-0000-0000-0000F9220000}"/>
    <cellStyle name="Normal 31 4 2 7 2" xfId="2383" xr:uid="{00000000-0005-0000-0000-0000FA220000}"/>
    <cellStyle name="Normal 31 4 2 7 2 2" xfId="6243" xr:uid="{00000000-0005-0000-0000-0000FB220000}"/>
    <cellStyle name="Normal 31 4 2 7 2 3" xfId="11195" xr:uid="{00000000-0005-0000-0000-0000FC220000}"/>
    <cellStyle name="Normal 31 4 2 7 3" xfId="3611" xr:uid="{00000000-0005-0000-0000-0000FD220000}"/>
    <cellStyle name="Normal 31 4 2 7 3 2" xfId="7467" xr:uid="{00000000-0005-0000-0000-0000FE220000}"/>
    <cellStyle name="Normal 31 4 2 7 3 3" xfId="9953" xr:uid="{00000000-0005-0000-0000-0000FF220000}"/>
    <cellStyle name="Normal 31 4 2 7 4" xfId="5019" xr:uid="{00000000-0005-0000-0000-000000230000}"/>
    <cellStyle name="Normal 31 4 2 7 5" xfId="8711" xr:uid="{00000000-0005-0000-0000-000001230000}"/>
    <cellStyle name="Normal 31 4 2 8" xfId="1771" xr:uid="{00000000-0005-0000-0000-000002230000}"/>
    <cellStyle name="Normal 31 4 2 8 2" xfId="5631" xr:uid="{00000000-0005-0000-0000-000003230000}"/>
    <cellStyle name="Normal 31 4 2 8 3" xfId="10565" xr:uid="{00000000-0005-0000-0000-000004230000}"/>
    <cellStyle name="Normal 31 4 2 9" xfId="2998" xr:uid="{00000000-0005-0000-0000-000005230000}"/>
    <cellStyle name="Normal 31 4 2 9 2" xfId="6855" xr:uid="{00000000-0005-0000-0000-000006230000}"/>
    <cellStyle name="Normal 31 4 2 9 3" xfId="11825" xr:uid="{00000000-0005-0000-0000-000007230000}"/>
    <cellStyle name="Normal 31 4 3" xfId="570" xr:uid="{00000000-0005-0000-0000-000008230000}"/>
    <cellStyle name="Normal 31 4 3 2" xfId="751" xr:uid="{00000000-0005-0000-0000-000009230000}"/>
    <cellStyle name="Normal 31 4 3 2 2" xfId="1101" xr:uid="{00000000-0005-0000-0000-00000A230000}"/>
    <cellStyle name="Normal 31 4 3 2 2 2" xfId="1715" xr:uid="{00000000-0005-0000-0000-00000B230000}"/>
    <cellStyle name="Normal 31 4 3 2 2 2 2" xfId="2941" xr:uid="{00000000-0005-0000-0000-00000C230000}"/>
    <cellStyle name="Normal 31 4 3 2 2 2 2 2" xfId="6801" xr:uid="{00000000-0005-0000-0000-00000D230000}"/>
    <cellStyle name="Normal 31 4 3 2 2 2 2 3" xfId="11753" xr:uid="{00000000-0005-0000-0000-00000E230000}"/>
    <cellStyle name="Normal 31 4 3 2 2 2 3" xfId="4169" xr:uid="{00000000-0005-0000-0000-00000F230000}"/>
    <cellStyle name="Normal 31 4 3 2 2 2 3 2" xfId="8025" xr:uid="{00000000-0005-0000-0000-000010230000}"/>
    <cellStyle name="Normal 31 4 3 2 2 2 3 3" xfId="10511" xr:uid="{00000000-0005-0000-0000-000011230000}"/>
    <cellStyle name="Normal 31 4 3 2 2 2 4" xfId="5577" xr:uid="{00000000-0005-0000-0000-000012230000}"/>
    <cellStyle name="Normal 31 4 3 2 2 2 5" xfId="9269" xr:uid="{00000000-0005-0000-0000-000013230000}"/>
    <cellStyle name="Normal 31 4 3 2 2 3" xfId="2329" xr:uid="{00000000-0005-0000-0000-000014230000}"/>
    <cellStyle name="Normal 31 4 3 2 2 3 2" xfId="6189" xr:uid="{00000000-0005-0000-0000-000015230000}"/>
    <cellStyle name="Normal 31 4 3 2 2 3 3" xfId="11105" xr:uid="{00000000-0005-0000-0000-000016230000}"/>
    <cellStyle name="Normal 31 4 3 2 2 4" xfId="3557" xr:uid="{00000000-0005-0000-0000-000017230000}"/>
    <cellStyle name="Normal 31 4 3 2 2 4 2" xfId="7413" xr:uid="{00000000-0005-0000-0000-000018230000}"/>
    <cellStyle name="Normal 31 4 3 2 2 4 3" xfId="9863" xr:uid="{00000000-0005-0000-0000-000019230000}"/>
    <cellStyle name="Normal 31 4 3 2 2 5" xfId="4965" xr:uid="{00000000-0005-0000-0000-00001A230000}"/>
    <cellStyle name="Normal 31 4 3 2 2 6" xfId="8620" xr:uid="{00000000-0005-0000-0000-00001B230000}"/>
    <cellStyle name="Normal 31 4 3 2 3" xfId="1409" xr:uid="{00000000-0005-0000-0000-00001C230000}"/>
    <cellStyle name="Normal 31 4 3 2 3 2" xfId="2635" xr:uid="{00000000-0005-0000-0000-00001D230000}"/>
    <cellStyle name="Normal 31 4 3 2 3 2 2" xfId="6495" xr:uid="{00000000-0005-0000-0000-00001E230000}"/>
    <cellStyle name="Normal 31 4 3 2 3 2 3" xfId="11447" xr:uid="{00000000-0005-0000-0000-00001F230000}"/>
    <cellStyle name="Normal 31 4 3 2 3 3" xfId="3863" xr:uid="{00000000-0005-0000-0000-000020230000}"/>
    <cellStyle name="Normal 31 4 3 2 3 3 2" xfId="7719" xr:uid="{00000000-0005-0000-0000-000021230000}"/>
    <cellStyle name="Normal 31 4 3 2 3 3 3" xfId="10205" xr:uid="{00000000-0005-0000-0000-000022230000}"/>
    <cellStyle name="Normal 31 4 3 2 3 4" xfId="5271" xr:uid="{00000000-0005-0000-0000-000023230000}"/>
    <cellStyle name="Normal 31 4 3 2 3 5" xfId="8963" xr:uid="{00000000-0005-0000-0000-000024230000}"/>
    <cellStyle name="Normal 31 4 3 2 4" xfId="2023" xr:uid="{00000000-0005-0000-0000-000025230000}"/>
    <cellStyle name="Normal 31 4 3 2 4 2" xfId="5883" xr:uid="{00000000-0005-0000-0000-000026230000}"/>
    <cellStyle name="Normal 31 4 3 2 4 3" xfId="10817" xr:uid="{00000000-0005-0000-0000-000027230000}"/>
    <cellStyle name="Normal 31 4 3 2 5" xfId="3250" xr:uid="{00000000-0005-0000-0000-000028230000}"/>
    <cellStyle name="Normal 31 4 3 2 5 2" xfId="7107" xr:uid="{00000000-0005-0000-0000-000029230000}"/>
    <cellStyle name="Normal 31 4 3 2 5 3" xfId="12023" xr:uid="{00000000-0005-0000-0000-00002A230000}"/>
    <cellStyle name="Normal 31 4 3 2 6" xfId="4659" xr:uid="{00000000-0005-0000-0000-00002B230000}"/>
    <cellStyle name="Normal 31 4 3 2 6 2" xfId="9575" xr:uid="{00000000-0005-0000-0000-00002C230000}"/>
    <cellStyle name="Normal 31 4 3 2 7" xfId="8332" xr:uid="{00000000-0005-0000-0000-00002D230000}"/>
    <cellStyle name="Normal 31 4 3 3" xfId="661" xr:uid="{00000000-0005-0000-0000-00002E230000}"/>
    <cellStyle name="Normal 31 4 3 3 2" xfId="1011" xr:uid="{00000000-0005-0000-0000-00002F230000}"/>
    <cellStyle name="Normal 31 4 3 3 2 2" xfId="1625" xr:uid="{00000000-0005-0000-0000-000030230000}"/>
    <cellStyle name="Normal 31 4 3 3 2 2 2" xfId="2851" xr:uid="{00000000-0005-0000-0000-000031230000}"/>
    <cellStyle name="Normal 31 4 3 3 2 2 2 2" xfId="6711" xr:uid="{00000000-0005-0000-0000-000032230000}"/>
    <cellStyle name="Normal 31 4 3 3 2 2 2 3" xfId="11663" xr:uid="{00000000-0005-0000-0000-000033230000}"/>
    <cellStyle name="Normal 31 4 3 3 2 2 3" xfId="4079" xr:uid="{00000000-0005-0000-0000-000034230000}"/>
    <cellStyle name="Normal 31 4 3 3 2 2 3 2" xfId="7935" xr:uid="{00000000-0005-0000-0000-000035230000}"/>
    <cellStyle name="Normal 31 4 3 3 2 2 3 3" xfId="10421" xr:uid="{00000000-0005-0000-0000-000036230000}"/>
    <cellStyle name="Normal 31 4 3 3 2 2 4" xfId="5487" xr:uid="{00000000-0005-0000-0000-000037230000}"/>
    <cellStyle name="Normal 31 4 3 3 2 2 5" xfId="9179" xr:uid="{00000000-0005-0000-0000-000038230000}"/>
    <cellStyle name="Normal 31 4 3 3 2 3" xfId="2239" xr:uid="{00000000-0005-0000-0000-000039230000}"/>
    <cellStyle name="Normal 31 4 3 3 2 3 2" xfId="6099" xr:uid="{00000000-0005-0000-0000-00003A230000}"/>
    <cellStyle name="Normal 31 4 3 3 2 3 3" xfId="11015" xr:uid="{00000000-0005-0000-0000-00003B230000}"/>
    <cellStyle name="Normal 31 4 3 3 2 4" xfId="3467" xr:uid="{00000000-0005-0000-0000-00003C230000}"/>
    <cellStyle name="Normal 31 4 3 3 2 4 2" xfId="7323" xr:uid="{00000000-0005-0000-0000-00003D230000}"/>
    <cellStyle name="Normal 31 4 3 3 2 4 3" xfId="9773" xr:uid="{00000000-0005-0000-0000-00003E230000}"/>
    <cellStyle name="Normal 31 4 3 3 2 5" xfId="4875" xr:uid="{00000000-0005-0000-0000-00003F230000}"/>
    <cellStyle name="Normal 31 4 3 3 2 6" xfId="8530" xr:uid="{00000000-0005-0000-0000-000040230000}"/>
    <cellStyle name="Normal 31 4 3 3 3" xfId="1319" xr:uid="{00000000-0005-0000-0000-000041230000}"/>
    <cellStyle name="Normal 31 4 3 3 3 2" xfId="2545" xr:uid="{00000000-0005-0000-0000-000042230000}"/>
    <cellStyle name="Normal 31 4 3 3 3 2 2" xfId="6405" xr:uid="{00000000-0005-0000-0000-000043230000}"/>
    <cellStyle name="Normal 31 4 3 3 3 2 3" xfId="11357" xr:uid="{00000000-0005-0000-0000-000044230000}"/>
    <cellStyle name="Normal 31 4 3 3 3 3" xfId="3773" xr:uid="{00000000-0005-0000-0000-000045230000}"/>
    <cellStyle name="Normal 31 4 3 3 3 3 2" xfId="7629" xr:uid="{00000000-0005-0000-0000-000046230000}"/>
    <cellStyle name="Normal 31 4 3 3 3 3 3" xfId="10115" xr:uid="{00000000-0005-0000-0000-000047230000}"/>
    <cellStyle name="Normal 31 4 3 3 3 4" xfId="5181" xr:uid="{00000000-0005-0000-0000-000048230000}"/>
    <cellStyle name="Normal 31 4 3 3 3 5" xfId="8873" xr:uid="{00000000-0005-0000-0000-000049230000}"/>
    <cellStyle name="Normal 31 4 3 3 4" xfId="1933" xr:uid="{00000000-0005-0000-0000-00004A230000}"/>
    <cellStyle name="Normal 31 4 3 3 4 2" xfId="5793" xr:uid="{00000000-0005-0000-0000-00004B230000}"/>
    <cellStyle name="Normal 31 4 3 3 4 3" xfId="10727" xr:uid="{00000000-0005-0000-0000-00004C230000}"/>
    <cellStyle name="Normal 31 4 3 3 5" xfId="3160" xr:uid="{00000000-0005-0000-0000-00004D230000}"/>
    <cellStyle name="Normal 31 4 3 3 5 2" xfId="7017" xr:uid="{00000000-0005-0000-0000-00004E230000}"/>
    <cellStyle name="Normal 31 4 3 3 5 3" xfId="11933" xr:uid="{00000000-0005-0000-0000-00004F230000}"/>
    <cellStyle name="Normal 31 4 3 3 6" xfId="4569" xr:uid="{00000000-0005-0000-0000-000050230000}"/>
    <cellStyle name="Normal 31 4 3 3 6 2" xfId="9485" xr:uid="{00000000-0005-0000-0000-000051230000}"/>
    <cellStyle name="Normal 31 4 3 3 7" xfId="8242" xr:uid="{00000000-0005-0000-0000-000052230000}"/>
    <cellStyle name="Normal 31 4 3 4" xfId="920" xr:uid="{00000000-0005-0000-0000-000053230000}"/>
    <cellStyle name="Normal 31 4 3 4 2" xfId="1535" xr:uid="{00000000-0005-0000-0000-000054230000}"/>
    <cellStyle name="Normal 31 4 3 4 2 2" xfId="2761" xr:uid="{00000000-0005-0000-0000-000055230000}"/>
    <cellStyle name="Normal 31 4 3 4 2 2 2" xfId="6621" xr:uid="{00000000-0005-0000-0000-000056230000}"/>
    <cellStyle name="Normal 31 4 3 4 2 2 3" xfId="11573" xr:uid="{00000000-0005-0000-0000-000057230000}"/>
    <cellStyle name="Normal 31 4 3 4 2 3" xfId="3989" xr:uid="{00000000-0005-0000-0000-000058230000}"/>
    <cellStyle name="Normal 31 4 3 4 2 3 2" xfId="7845" xr:uid="{00000000-0005-0000-0000-000059230000}"/>
    <cellStyle name="Normal 31 4 3 4 2 3 3" xfId="10331" xr:uid="{00000000-0005-0000-0000-00005A230000}"/>
    <cellStyle name="Normal 31 4 3 4 2 4" xfId="5397" xr:uid="{00000000-0005-0000-0000-00005B230000}"/>
    <cellStyle name="Normal 31 4 3 4 2 5" xfId="9089" xr:uid="{00000000-0005-0000-0000-00005C230000}"/>
    <cellStyle name="Normal 31 4 3 4 3" xfId="2149" xr:uid="{00000000-0005-0000-0000-00005D230000}"/>
    <cellStyle name="Normal 31 4 3 4 3 2" xfId="6009" xr:uid="{00000000-0005-0000-0000-00005E230000}"/>
    <cellStyle name="Normal 31 4 3 4 3 3" xfId="10925" xr:uid="{00000000-0005-0000-0000-00005F230000}"/>
    <cellStyle name="Normal 31 4 3 4 4" xfId="3377" xr:uid="{00000000-0005-0000-0000-000060230000}"/>
    <cellStyle name="Normal 31 4 3 4 4 2" xfId="7233" xr:uid="{00000000-0005-0000-0000-000061230000}"/>
    <cellStyle name="Normal 31 4 3 4 4 3" xfId="9683" xr:uid="{00000000-0005-0000-0000-000062230000}"/>
    <cellStyle name="Normal 31 4 3 4 5" xfId="4785" xr:uid="{00000000-0005-0000-0000-000063230000}"/>
    <cellStyle name="Normal 31 4 3 4 6" xfId="8440" xr:uid="{00000000-0005-0000-0000-000064230000}"/>
    <cellStyle name="Normal 31 4 3 5" xfId="1229" xr:uid="{00000000-0005-0000-0000-000065230000}"/>
    <cellStyle name="Normal 31 4 3 5 2" xfId="2455" xr:uid="{00000000-0005-0000-0000-000066230000}"/>
    <cellStyle name="Normal 31 4 3 5 2 2" xfId="6315" xr:uid="{00000000-0005-0000-0000-000067230000}"/>
    <cellStyle name="Normal 31 4 3 5 2 3" xfId="11267" xr:uid="{00000000-0005-0000-0000-000068230000}"/>
    <cellStyle name="Normal 31 4 3 5 3" xfId="3683" xr:uid="{00000000-0005-0000-0000-000069230000}"/>
    <cellStyle name="Normal 31 4 3 5 3 2" xfId="7539" xr:uid="{00000000-0005-0000-0000-00006A230000}"/>
    <cellStyle name="Normal 31 4 3 5 3 3" xfId="10025" xr:uid="{00000000-0005-0000-0000-00006B230000}"/>
    <cellStyle name="Normal 31 4 3 5 4" xfId="5091" xr:uid="{00000000-0005-0000-0000-00006C230000}"/>
    <cellStyle name="Normal 31 4 3 5 5" xfId="8783" xr:uid="{00000000-0005-0000-0000-00006D230000}"/>
    <cellStyle name="Normal 31 4 3 6" xfId="1843" xr:uid="{00000000-0005-0000-0000-00006E230000}"/>
    <cellStyle name="Normal 31 4 3 6 2" xfId="5703" xr:uid="{00000000-0005-0000-0000-00006F230000}"/>
    <cellStyle name="Normal 31 4 3 6 3" xfId="10637" xr:uid="{00000000-0005-0000-0000-000070230000}"/>
    <cellStyle name="Normal 31 4 3 7" xfId="3070" xr:uid="{00000000-0005-0000-0000-000071230000}"/>
    <cellStyle name="Normal 31 4 3 7 2" xfId="6927" xr:uid="{00000000-0005-0000-0000-000072230000}"/>
    <cellStyle name="Normal 31 4 3 7 3" xfId="11843" xr:uid="{00000000-0005-0000-0000-000073230000}"/>
    <cellStyle name="Normal 31 4 3 8" xfId="4479" xr:uid="{00000000-0005-0000-0000-000074230000}"/>
    <cellStyle name="Normal 31 4 3 8 2" xfId="9395" xr:uid="{00000000-0005-0000-0000-000075230000}"/>
    <cellStyle name="Normal 31 4 3 9" xfId="8152" xr:uid="{00000000-0005-0000-0000-000076230000}"/>
    <cellStyle name="Normal 31 4 4" xfId="513" xr:uid="{00000000-0005-0000-0000-000077230000}"/>
    <cellStyle name="Normal 31 4 4 2" xfId="715" xr:uid="{00000000-0005-0000-0000-000078230000}"/>
    <cellStyle name="Normal 31 4 4 2 2" xfId="1065" xr:uid="{00000000-0005-0000-0000-000079230000}"/>
    <cellStyle name="Normal 31 4 4 2 2 2" xfId="1679" xr:uid="{00000000-0005-0000-0000-00007A230000}"/>
    <cellStyle name="Normal 31 4 4 2 2 2 2" xfId="2905" xr:uid="{00000000-0005-0000-0000-00007B230000}"/>
    <cellStyle name="Normal 31 4 4 2 2 2 2 2" xfId="6765" xr:uid="{00000000-0005-0000-0000-00007C230000}"/>
    <cellStyle name="Normal 31 4 4 2 2 2 2 3" xfId="11717" xr:uid="{00000000-0005-0000-0000-00007D230000}"/>
    <cellStyle name="Normal 31 4 4 2 2 2 3" xfId="4133" xr:uid="{00000000-0005-0000-0000-00007E230000}"/>
    <cellStyle name="Normal 31 4 4 2 2 2 3 2" xfId="7989" xr:uid="{00000000-0005-0000-0000-00007F230000}"/>
    <cellStyle name="Normal 31 4 4 2 2 2 3 3" xfId="10475" xr:uid="{00000000-0005-0000-0000-000080230000}"/>
    <cellStyle name="Normal 31 4 4 2 2 2 4" xfId="5541" xr:uid="{00000000-0005-0000-0000-000081230000}"/>
    <cellStyle name="Normal 31 4 4 2 2 2 5" xfId="9233" xr:uid="{00000000-0005-0000-0000-000082230000}"/>
    <cellStyle name="Normal 31 4 4 2 2 3" xfId="2293" xr:uid="{00000000-0005-0000-0000-000083230000}"/>
    <cellStyle name="Normal 31 4 4 2 2 3 2" xfId="6153" xr:uid="{00000000-0005-0000-0000-000084230000}"/>
    <cellStyle name="Normal 31 4 4 2 2 3 3" xfId="11069" xr:uid="{00000000-0005-0000-0000-000085230000}"/>
    <cellStyle name="Normal 31 4 4 2 2 4" xfId="3521" xr:uid="{00000000-0005-0000-0000-000086230000}"/>
    <cellStyle name="Normal 31 4 4 2 2 4 2" xfId="7377" xr:uid="{00000000-0005-0000-0000-000087230000}"/>
    <cellStyle name="Normal 31 4 4 2 2 4 3" xfId="9827" xr:uid="{00000000-0005-0000-0000-000088230000}"/>
    <cellStyle name="Normal 31 4 4 2 2 5" xfId="4929" xr:uid="{00000000-0005-0000-0000-000089230000}"/>
    <cellStyle name="Normal 31 4 4 2 2 6" xfId="8584" xr:uid="{00000000-0005-0000-0000-00008A230000}"/>
    <cellStyle name="Normal 31 4 4 2 3" xfId="1373" xr:uid="{00000000-0005-0000-0000-00008B230000}"/>
    <cellStyle name="Normal 31 4 4 2 3 2" xfId="2599" xr:uid="{00000000-0005-0000-0000-00008C230000}"/>
    <cellStyle name="Normal 31 4 4 2 3 2 2" xfId="6459" xr:uid="{00000000-0005-0000-0000-00008D230000}"/>
    <cellStyle name="Normal 31 4 4 2 3 2 3" xfId="11411" xr:uid="{00000000-0005-0000-0000-00008E230000}"/>
    <cellStyle name="Normal 31 4 4 2 3 3" xfId="3827" xr:uid="{00000000-0005-0000-0000-00008F230000}"/>
    <cellStyle name="Normal 31 4 4 2 3 3 2" xfId="7683" xr:uid="{00000000-0005-0000-0000-000090230000}"/>
    <cellStyle name="Normal 31 4 4 2 3 3 3" xfId="10169" xr:uid="{00000000-0005-0000-0000-000091230000}"/>
    <cellStyle name="Normal 31 4 4 2 3 4" xfId="5235" xr:uid="{00000000-0005-0000-0000-000092230000}"/>
    <cellStyle name="Normal 31 4 4 2 3 5" xfId="8927" xr:uid="{00000000-0005-0000-0000-000093230000}"/>
    <cellStyle name="Normal 31 4 4 2 4" xfId="1987" xr:uid="{00000000-0005-0000-0000-000094230000}"/>
    <cellStyle name="Normal 31 4 4 2 4 2" xfId="5847" xr:uid="{00000000-0005-0000-0000-000095230000}"/>
    <cellStyle name="Normal 31 4 4 2 4 3" xfId="10781" xr:uid="{00000000-0005-0000-0000-000096230000}"/>
    <cellStyle name="Normal 31 4 4 2 5" xfId="3214" xr:uid="{00000000-0005-0000-0000-000097230000}"/>
    <cellStyle name="Normal 31 4 4 2 5 2" xfId="7071" xr:uid="{00000000-0005-0000-0000-000098230000}"/>
    <cellStyle name="Normal 31 4 4 2 5 3" xfId="11987" xr:uid="{00000000-0005-0000-0000-000099230000}"/>
    <cellStyle name="Normal 31 4 4 2 6" xfId="4623" xr:uid="{00000000-0005-0000-0000-00009A230000}"/>
    <cellStyle name="Normal 31 4 4 2 6 2" xfId="9539" xr:uid="{00000000-0005-0000-0000-00009B230000}"/>
    <cellStyle name="Normal 31 4 4 2 7" xfId="8296" xr:uid="{00000000-0005-0000-0000-00009C230000}"/>
    <cellStyle name="Normal 31 4 4 3" xfId="625" xr:uid="{00000000-0005-0000-0000-00009D230000}"/>
    <cellStyle name="Normal 31 4 4 3 2" xfId="975" xr:uid="{00000000-0005-0000-0000-00009E230000}"/>
    <cellStyle name="Normal 31 4 4 3 2 2" xfId="1589" xr:uid="{00000000-0005-0000-0000-00009F230000}"/>
    <cellStyle name="Normal 31 4 4 3 2 2 2" xfId="2815" xr:uid="{00000000-0005-0000-0000-0000A0230000}"/>
    <cellStyle name="Normal 31 4 4 3 2 2 2 2" xfId="6675" xr:uid="{00000000-0005-0000-0000-0000A1230000}"/>
    <cellStyle name="Normal 31 4 4 3 2 2 2 3" xfId="11627" xr:uid="{00000000-0005-0000-0000-0000A2230000}"/>
    <cellStyle name="Normal 31 4 4 3 2 2 3" xfId="4043" xr:uid="{00000000-0005-0000-0000-0000A3230000}"/>
    <cellStyle name="Normal 31 4 4 3 2 2 3 2" xfId="7899" xr:uid="{00000000-0005-0000-0000-0000A4230000}"/>
    <cellStyle name="Normal 31 4 4 3 2 2 3 3" xfId="10385" xr:uid="{00000000-0005-0000-0000-0000A5230000}"/>
    <cellStyle name="Normal 31 4 4 3 2 2 4" xfId="5451" xr:uid="{00000000-0005-0000-0000-0000A6230000}"/>
    <cellStyle name="Normal 31 4 4 3 2 2 5" xfId="9143" xr:uid="{00000000-0005-0000-0000-0000A7230000}"/>
    <cellStyle name="Normal 31 4 4 3 2 3" xfId="2203" xr:uid="{00000000-0005-0000-0000-0000A8230000}"/>
    <cellStyle name="Normal 31 4 4 3 2 3 2" xfId="6063" xr:uid="{00000000-0005-0000-0000-0000A9230000}"/>
    <cellStyle name="Normal 31 4 4 3 2 3 3" xfId="10979" xr:uid="{00000000-0005-0000-0000-0000AA230000}"/>
    <cellStyle name="Normal 31 4 4 3 2 4" xfId="3431" xr:uid="{00000000-0005-0000-0000-0000AB230000}"/>
    <cellStyle name="Normal 31 4 4 3 2 4 2" xfId="7287" xr:uid="{00000000-0005-0000-0000-0000AC230000}"/>
    <cellStyle name="Normal 31 4 4 3 2 4 3" xfId="9737" xr:uid="{00000000-0005-0000-0000-0000AD230000}"/>
    <cellStyle name="Normal 31 4 4 3 2 5" xfId="4839" xr:uid="{00000000-0005-0000-0000-0000AE230000}"/>
    <cellStyle name="Normal 31 4 4 3 2 6" xfId="8494" xr:uid="{00000000-0005-0000-0000-0000AF230000}"/>
    <cellStyle name="Normal 31 4 4 3 3" xfId="1283" xr:uid="{00000000-0005-0000-0000-0000B0230000}"/>
    <cellStyle name="Normal 31 4 4 3 3 2" xfId="2509" xr:uid="{00000000-0005-0000-0000-0000B1230000}"/>
    <cellStyle name="Normal 31 4 4 3 3 2 2" xfId="6369" xr:uid="{00000000-0005-0000-0000-0000B2230000}"/>
    <cellStyle name="Normal 31 4 4 3 3 2 3" xfId="11321" xr:uid="{00000000-0005-0000-0000-0000B3230000}"/>
    <cellStyle name="Normal 31 4 4 3 3 3" xfId="3737" xr:uid="{00000000-0005-0000-0000-0000B4230000}"/>
    <cellStyle name="Normal 31 4 4 3 3 3 2" xfId="7593" xr:uid="{00000000-0005-0000-0000-0000B5230000}"/>
    <cellStyle name="Normal 31 4 4 3 3 3 3" xfId="10079" xr:uid="{00000000-0005-0000-0000-0000B6230000}"/>
    <cellStyle name="Normal 31 4 4 3 3 4" xfId="5145" xr:uid="{00000000-0005-0000-0000-0000B7230000}"/>
    <cellStyle name="Normal 31 4 4 3 3 5" xfId="8837" xr:uid="{00000000-0005-0000-0000-0000B8230000}"/>
    <cellStyle name="Normal 31 4 4 3 4" xfId="1897" xr:uid="{00000000-0005-0000-0000-0000B9230000}"/>
    <cellStyle name="Normal 31 4 4 3 4 2" xfId="5757" xr:uid="{00000000-0005-0000-0000-0000BA230000}"/>
    <cellStyle name="Normal 31 4 4 3 4 3" xfId="10691" xr:uid="{00000000-0005-0000-0000-0000BB230000}"/>
    <cellStyle name="Normal 31 4 4 3 5" xfId="3124" xr:uid="{00000000-0005-0000-0000-0000BC230000}"/>
    <cellStyle name="Normal 31 4 4 3 5 2" xfId="6981" xr:uid="{00000000-0005-0000-0000-0000BD230000}"/>
    <cellStyle name="Normal 31 4 4 3 5 3" xfId="11897" xr:uid="{00000000-0005-0000-0000-0000BE230000}"/>
    <cellStyle name="Normal 31 4 4 3 6" xfId="4533" xr:uid="{00000000-0005-0000-0000-0000BF230000}"/>
    <cellStyle name="Normal 31 4 4 3 6 2" xfId="9449" xr:uid="{00000000-0005-0000-0000-0000C0230000}"/>
    <cellStyle name="Normal 31 4 4 3 7" xfId="8206" xr:uid="{00000000-0005-0000-0000-0000C1230000}"/>
    <cellStyle name="Normal 31 4 4 4" xfId="863" xr:uid="{00000000-0005-0000-0000-0000C2230000}"/>
    <cellStyle name="Normal 31 4 4 4 2" xfId="1499" xr:uid="{00000000-0005-0000-0000-0000C3230000}"/>
    <cellStyle name="Normal 31 4 4 4 2 2" xfId="2725" xr:uid="{00000000-0005-0000-0000-0000C4230000}"/>
    <cellStyle name="Normal 31 4 4 4 2 2 2" xfId="6585" xr:uid="{00000000-0005-0000-0000-0000C5230000}"/>
    <cellStyle name="Normal 31 4 4 4 2 2 3" xfId="11537" xr:uid="{00000000-0005-0000-0000-0000C6230000}"/>
    <cellStyle name="Normal 31 4 4 4 2 3" xfId="3953" xr:uid="{00000000-0005-0000-0000-0000C7230000}"/>
    <cellStyle name="Normal 31 4 4 4 2 3 2" xfId="7809" xr:uid="{00000000-0005-0000-0000-0000C8230000}"/>
    <cellStyle name="Normal 31 4 4 4 2 3 3" xfId="10295" xr:uid="{00000000-0005-0000-0000-0000C9230000}"/>
    <cellStyle name="Normal 31 4 4 4 2 4" xfId="5361" xr:uid="{00000000-0005-0000-0000-0000CA230000}"/>
    <cellStyle name="Normal 31 4 4 4 2 5" xfId="9053" xr:uid="{00000000-0005-0000-0000-0000CB230000}"/>
    <cellStyle name="Normal 31 4 4 4 3" xfId="2113" xr:uid="{00000000-0005-0000-0000-0000CC230000}"/>
    <cellStyle name="Normal 31 4 4 4 3 2" xfId="5973" xr:uid="{00000000-0005-0000-0000-0000CD230000}"/>
    <cellStyle name="Normal 31 4 4 4 3 3" xfId="10889" xr:uid="{00000000-0005-0000-0000-0000CE230000}"/>
    <cellStyle name="Normal 31 4 4 4 4" xfId="3341" xr:uid="{00000000-0005-0000-0000-0000CF230000}"/>
    <cellStyle name="Normal 31 4 4 4 4 2" xfId="7197" xr:uid="{00000000-0005-0000-0000-0000D0230000}"/>
    <cellStyle name="Normal 31 4 4 4 4 3" xfId="9647" xr:uid="{00000000-0005-0000-0000-0000D1230000}"/>
    <cellStyle name="Normal 31 4 4 4 5" xfId="4749" xr:uid="{00000000-0005-0000-0000-0000D2230000}"/>
    <cellStyle name="Normal 31 4 4 4 6" xfId="8404" xr:uid="{00000000-0005-0000-0000-0000D3230000}"/>
    <cellStyle name="Normal 31 4 4 5" xfId="1193" xr:uid="{00000000-0005-0000-0000-0000D4230000}"/>
    <cellStyle name="Normal 31 4 4 5 2" xfId="2419" xr:uid="{00000000-0005-0000-0000-0000D5230000}"/>
    <cellStyle name="Normal 31 4 4 5 2 2" xfId="6279" xr:uid="{00000000-0005-0000-0000-0000D6230000}"/>
    <cellStyle name="Normal 31 4 4 5 2 3" xfId="11231" xr:uid="{00000000-0005-0000-0000-0000D7230000}"/>
    <cellStyle name="Normal 31 4 4 5 3" xfId="3647" xr:uid="{00000000-0005-0000-0000-0000D8230000}"/>
    <cellStyle name="Normal 31 4 4 5 3 2" xfId="7503" xr:uid="{00000000-0005-0000-0000-0000D9230000}"/>
    <cellStyle name="Normal 31 4 4 5 3 3" xfId="9989" xr:uid="{00000000-0005-0000-0000-0000DA230000}"/>
    <cellStyle name="Normal 31 4 4 5 4" xfId="5055" xr:uid="{00000000-0005-0000-0000-0000DB230000}"/>
    <cellStyle name="Normal 31 4 4 5 5" xfId="8747" xr:uid="{00000000-0005-0000-0000-0000DC230000}"/>
    <cellStyle name="Normal 31 4 4 6" xfId="1807" xr:uid="{00000000-0005-0000-0000-0000DD230000}"/>
    <cellStyle name="Normal 31 4 4 6 2" xfId="5667" xr:uid="{00000000-0005-0000-0000-0000DE230000}"/>
    <cellStyle name="Normal 31 4 4 6 3" xfId="10601" xr:uid="{00000000-0005-0000-0000-0000DF230000}"/>
    <cellStyle name="Normal 31 4 4 7" xfId="3034" xr:uid="{00000000-0005-0000-0000-0000E0230000}"/>
    <cellStyle name="Normal 31 4 4 7 2" xfId="6891" xr:uid="{00000000-0005-0000-0000-0000E1230000}"/>
    <cellStyle name="Normal 31 4 4 7 3" xfId="11807" xr:uid="{00000000-0005-0000-0000-0000E2230000}"/>
    <cellStyle name="Normal 31 4 4 8" xfId="4443" xr:uid="{00000000-0005-0000-0000-0000E3230000}"/>
    <cellStyle name="Normal 31 4 4 8 2" xfId="9359" xr:uid="{00000000-0005-0000-0000-0000E4230000}"/>
    <cellStyle name="Normal 31 4 4 9" xfId="8116" xr:uid="{00000000-0005-0000-0000-0000E5230000}"/>
    <cellStyle name="Normal 31 4 5" xfId="697" xr:uid="{00000000-0005-0000-0000-0000E6230000}"/>
    <cellStyle name="Normal 31 4 5 2" xfId="1047" xr:uid="{00000000-0005-0000-0000-0000E7230000}"/>
    <cellStyle name="Normal 31 4 5 2 2" xfId="1661" xr:uid="{00000000-0005-0000-0000-0000E8230000}"/>
    <cellStyle name="Normal 31 4 5 2 2 2" xfId="2887" xr:uid="{00000000-0005-0000-0000-0000E9230000}"/>
    <cellStyle name="Normal 31 4 5 2 2 2 2" xfId="6747" xr:uid="{00000000-0005-0000-0000-0000EA230000}"/>
    <cellStyle name="Normal 31 4 5 2 2 2 3" xfId="11699" xr:uid="{00000000-0005-0000-0000-0000EB230000}"/>
    <cellStyle name="Normal 31 4 5 2 2 3" xfId="4115" xr:uid="{00000000-0005-0000-0000-0000EC230000}"/>
    <cellStyle name="Normal 31 4 5 2 2 3 2" xfId="7971" xr:uid="{00000000-0005-0000-0000-0000ED230000}"/>
    <cellStyle name="Normal 31 4 5 2 2 3 3" xfId="10457" xr:uid="{00000000-0005-0000-0000-0000EE230000}"/>
    <cellStyle name="Normal 31 4 5 2 2 4" xfId="5523" xr:uid="{00000000-0005-0000-0000-0000EF230000}"/>
    <cellStyle name="Normal 31 4 5 2 2 5" xfId="9215" xr:uid="{00000000-0005-0000-0000-0000F0230000}"/>
    <cellStyle name="Normal 31 4 5 2 3" xfId="2275" xr:uid="{00000000-0005-0000-0000-0000F1230000}"/>
    <cellStyle name="Normal 31 4 5 2 3 2" xfId="6135" xr:uid="{00000000-0005-0000-0000-0000F2230000}"/>
    <cellStyle name="Normal 31 4 5 2 3 3" xfId="11051" xr:uid="{00000000-0005-0000-0000-0000F3230000}"/>
    <cellStyle name="Normal 31 4 5 2 4" xfId="3503" xr:uid="{00000000-0005-0000-0000-0000F4230000}"/>
    <cellStyle name="Normal 31 4 5 2 4 2" xfId="7359" xr:uid="{00000000-0005-0000-0000-0000F5230000}"/>
    <cellStyle name="Normal 31 4 5 2 4 3" xfId="9809" xr:uid="{00000000-0005-0000-0000-0000F6230000}"/>
    <cellStyle name="Normal 31 4 5 2 5" xfId="4911" xr:uid="{00000000-0005-0000-0000-0000F7230000}"/>
    <cellStyle name="Normal 31 4 5 2 6" xfId="8566" xr:uid="{00000000-0005-0000-0000-0000F8230000}"/>
    <cellStyle name="Normal 31 4 5 3" xfId="1355" xr:uid="{00000000-0005-0000-0000-0000F9230000}"/>
    <cellStyle name="Normal 31 4 5 3 2" xfId="2581" xr:uid="{00000000-0005-0000-0000-0000FA230000}"/>
    <cellStyle name="Normal 31 4 5 3 2 2" xfId="6441" xr:uid="{00000000-0005-0000-0000-0000FB230000}"/>
    <cellStyle name="Normal 31 4 5 3 2 3" xfId="11393" xr:uid="{00000000-0005-0000-0000-0000FC230000}"/>
    <cellStyle name="Normal 31 4 5 3 3" xfId="3809" xr:uid="{00000000-0005-0000-0000-0000FD230000}"/>
    <cellStyle name="Normal 31 4 5 3 3 2" xfId="7665" xr:uid="{00000000-0005-0000-0000-0000FE230000}"/>
    <cellStyle name="Normal 31 4 5 3 3 3" xfId="10151" xr:uid="{00000000-0005-0000-0000-0000FF230000}"/>
    <cellStyle name="Normal 31 4 5 3 4" xfId="5217" xr:uid="{00000000-0005-0000-0000-000000240000}"/>
    <cellStyle name="Normal 31 4 5 3 5" xfId="8909" xr:uid="{00000000-0005-0000-0000-000001240000}"/>
    <cellStyle name="Normal 31 4 5 4" xfId="1969" xr:uid="{00000000-0005-0000-0000-000002240000}"/>
    <cellStyle name="Normal 31 4 5 4 2" xfId="5829" xr:uid="{00000000-0005-0000-0000-000003240000}"/>
    <cellStyle name="Normal 31 4 5 4 3" xfId="10763" xr:uid="{00000000-0005-0000-0000-000004240000}"/>
    <cellStyle name="Normal 31 4 5 5" xfId="3196" xr:uid="{00000000-0005-0000-0000-000005240000}"/>
    <cellStyle name="Normal 31 4 5 5 2" xfId="7053" xr:uid="{00000000-0005-0000-0000-000006240000}"/>
    <cellStyle name="Normal 31 4 5 5 3" xfId="11969" xr:uid="{00000000-0005-0000-0000-000007240000}"/>
    <cellStyle name="Normal 31 4 5 6" xfId="4605" xr:uid="{00000000-0005-0000-0000-000008240000}"/>
    <cellStyle name="Normal 31 4 5 6 2" xfId="9521" xr:uid="{00000000-0005-0000-0000-000009240000}"/>
    <cellStyle name="Normal 31 4 5 7" xfId="8278" xr:uid="{00000000-0005-0000-0000-00000A240000}"/>
    <cellStyle name="Normal 31 4 6" xfId="607" xr:uid="{00000000-0005-0000-0000-00000B240000}"/>
    <cellStyle name="Normal 31 4 6 2" xfId="957" xr:uid="{00000000-0005-0000-0000-00000C240000}"/>
    <cellStyle name="Normal 31 4 6 2 2" xfId="1571" xr:uid="{00000000-0005-0000-0000-00000D240000}"/>
    <cellStyle name="Normal 31 4 6 2 2 2" xfId="2797" xr:uid="{00000000-0005-0000-0000-00000E240000}"/>
    <cellStyle name="Normal 31 4 6 2 2 2 2" xfId="6657" xr:uid="{00000000-0005-0000-0000-00000F240000}"/>
    <cellStyle name="Normal 31 4 6 2 2 2 3" xfId="11609" xr:uid="{00000000-0005-0000-0000-000010240000}"/>
    <cellStyle name="Normal 31 4 6 2 2 3" xfId="4025" xr:uid="{00000000-0005-0000-0000-000011240000}"/>
    <cellStyle name="Normal 31 4 6 2 2 3 2" xfId="7881" xr:uid="{00000000-0005-0000-0000-000012240000}"/>
    <cellStyle name="Normal 31 4 6 2 2 3 3" xfId="10367" xr:uid="{00000000-0005-0000-0000-000013240000}"/>
    <cellStyle name="Normal 31 4 6 2 2 4" xfId="5433" xr:uid="{00000000-0005-0000-0000-000014240000}"/>
    <cellStyle name="Normal 31 4 6 2 2 5" xfId="9125" xr:uid="{00000000-0005-0000-0000-000015240000}"/>
    <cellStyle name="Normal 31 4 6 2 3" xfId="2185" xr:uid="{00000000-0005-0000-0000-000016240000}"/>
    <cellStyle name="Normal 31 4 6 2 3 2" xfId="6045" xr:uid="{00000000-0005-0000-0000-000017240000}"/>
    <cellStyle name="Normal 31 4 6 2 3 3" xfId="10961" xr:uid="{00000000-0005-0000-0000-000018240000}"/>
    <cellStyle name="Normal 31 4 6 2 4" xfId="3413" xr:uid="{00000000-0005-0000-0000-000019240000}"/>
    <cellStyle name="Normal 31 4 6 2 4 2" xfId="7269" xr:uid="{00000000-0005-0000-0000-00001A240000}"/>
    <cellStyle name="Normal 31 4 6 2 4 3" xfId="9719" xr:uid="{00000000-0005-0000-0000-00001B240000}"/>
    <cellStyle name="Normal 31 4 6 2 5" xfId="4821" xr:uid="{00000000-0005-0000-0000-00001C240000}"/>
    <cellStyle name="Normal 31 4 6 2 6" xfId="8476" xr:uid="{00000000-0005-0000-0000-00001D240000}"/>
    <cellStyle name="Normal 31 4 6 3" xfId="1265" xr:uid="{00000000-0005-0000-0000-00001E240000}"/>
    <cellStyle name="Normal 31 4 6 3 2" xfId="2491" xr:uid="{00000000-0005-0000-0000-00001F240000}"/>
    <cellStyle name="Normal 31 4 6 3 2 2" xfId="6351" xr:uid="{00000000-0005-0000-0000-000020240000}"/>
    <cellStyle name="Normal 31 4 6 3 2 3" xfId="11303" xr:uid="{00000000-0005-0000-0000-000021240000}"/>
    <cellStyle name="Normal 31 4 6 3 3" xfId="3719" xr:uid="{00000000-0005-0000-0000-000022240000}"/>
    <cellStyle name="Normal 31 4 6 3 3 2" xfId="7575" xr:uid="{00000000-0005-0000-0000-000023240000}"/>
    <cellStyle name="Normal 31 4 6 3 3 3" xfId="10061" xr:uid="{00000000-0005-0000-0000-000024240000}"/>
    <cellStyle name="Normal 31 4 6 3 4" xfId="5127" xr:uid="{00000000-0005-0000-0000-000025240000}"/>
    <cellStyle name="Normal 31 4 6 3 5" xfId="8819" xr:uid="{00000000-0005-0000-0000-000026240000}"/>
    <cellStyle name="Normal 31 4 6 4" xfId="1879" xr:uid="{00000000-0005-0000-0000-000027240000}"/>
    <cellStyle name="Normal 31 4 6 4 2" xfId="5739" xr:uid="{00000000-0005-0000-0000-000028240000}"/>
    <cellStyle name="Normal 31 4 6 4 3" xfId="10673" xr:uid="{00000000-0005-0000-0000-000029240000}"/>
    <cellStyle name="Normal 31 4 6 5" xfId="3106" xr:uid="{00000000-0005-0000-0000-00002A240000}"/>
    <cellStyle name="Normal 31 4 6 5 2" xfId="6963" xr:uid="{00000000-0005-0000-0000-00002B240000}"/>
    <cellStyle name="Normal 31 4 6 5 3" xfId="11879" xr:uid="{00000000-0005-0000-0000-00002C240000}"/>
    <cellStyle name="Normal 31 4 6 6" xfId="4515" xr:uid="{00000000-0005-0000-0000-00002D240000}"/>
    <cellStyle name="Normal 31 4 6 6 2" xfId="9431" xr:uid="{00000000-0005-0000-0000-00002E240000}"/>
    <cellStyle name="Normal 31 4 6 7" xfId="8188" xr:uid="{00000000-0005-0000-0000-00002F240000}"/>
    <cellStyle name="Normal 31 4 7" xfId="493" xr:uid="{00000000-0005-0000-0000-000030240000}"/>
    <cellStyle name="Normal 31 4 7 2" xfId="843" xr:uid="{00000000-0005-0000-0000-000031240000}"/>
    <cellStyle name="Normal 31 4 7 2 2" xfId="1481" xr:uid="{00000000-0005-0000-0000-000032240000}"/>
    <cellStyle name="Normal 31 4 7 2 2 2" xfId="2707" xr:uid="{00000000-0005-0000-0000-000033240000}"/>
    <cellStyle name="Normal 31 4 7 2 2 2 2" xfId="6567" xr:uid="{00000000-0005-0000-0000-000034240000}"/>
    <cellStyle name="Normal 31 4 7 2 2 2 3" xfId="11519" xr:uid="{00000000-0005-0000-0000-000035240000}"/>
    <cellStyle name="Normal 31 4 7 2 2 3" xfId="3935" xr:uid="{00000000-0005-0000-0000-000036240000}"/>
    <cellStyle name="Normal 31 4 7 2 2 3 2" xfId="7791" xr:uid="{00000000-0005-0000-0000-000037240000}"/>
    <cellStyle name="Normal 31 4 7 2 2 3 3" xfId="10277" xr:uid="{00000000-0005-0000-0000-000038240000}"/>
    <cellStyle name="Normal 31 4 7 2 2 4" xfId="5343" xr:uid="{00000000-0005-0000-0000-000039240000}"/>
    <cellStyle name="Normal 31 4 7 2 2 5" xfId="9035" xr:uid="{00000000-0005-0000-0000-00003A240000}"/>
    <cellStyle name="Normal 31 4 7 2 3" xfId="2095" xr:uid="{00000000-0005-0000-0000-00003B240000}"/>
    <cellStyle name="Normal 31 4 7 2 3 2" xfId="5955" xr:uid="{00000000-0005-0000-0000-00003C240000}"/>
    <cellStyle name="Normal 31 4 7 2 3 3" xfId="10871" xr:uid="{00000000-0005-0000-0000-00003D240000}"/>
    <cellStyle name="Normal 31 4 7 2 4" xfId="3323" xr:uid="{00000000-0005-0000-0000-00003E240000}"/>
    <cellStyle name="Normal 31 4 7 2 4 2" xfId="7179" xr:uid="{00000000-0005-0000-0000-00003F240000}"/>
    <cellStyle name="Normal 31 4 7 2 4 3" xfId="9629" xr:uid="{00000000-0005-0000-0000-000040240000}"/>
    <cellStyle name="Normal 31 4 7 2 5" xfId="4731" xr:uid="{00000000-0005-0000-0000-000041240000}"/>
    <cellStyle name="Normal 31 4 7 2 6" xfId="8386" xr:uid="{00000000-0005-0000-0000-000042240000}"/>
    <cellStyle name="Normal 31 4 7 3" xfId="1175" xr:uid="{00000000-0005-0000-0000-000043240000}"/>
    <cellStyle name="Normal 31 4 7 3 2" xfId="2401" xr:uid="{00000000-0005-0000-0000-000044240000}"/>
    <cellStyle name="Normal 31 4 7 3 2 2" xfId="6261" xr:uid="{00000000-0005-0000-0000-000045240000}"/>
    <cellStyle name="Normal 31 4 7 3 2 3" xfId="11213" xr:uid="{00000000-0005-0000-0000-000046240000}"/>
    <cellStyle name="Normal 31 4 7 3 3" xfId="3629" xr:uid="{00000000-0005-0000-0000-000047240000}"/>
    <cellStyle name="Normal 31 4 7 3 3 2" xfId="7485" xr:uid="{00000000-0005-0000-0000-000048240000}"/>
    <cellStyle name="Normal 31 4 7 3 3 3" xfId="9971" xr:uid="{00000000-0005-0000-0000-000049240000}"/>
    <cellStyle name="Normal 31 4 7 3 4" xfId="5037" xr:uid="{00000000-0005-0000-0000-00004A240000}"/>
    <cellStyle name="Normal 31 4 7 3 5" xfId="8729" xr:uid="{00000000-0005-0000-0000-00004B240000}"/>
    <cellStyle name="Normal 31 4 7 4" xfId="1789" xr:uid="{00000000-0005-0000-0000-00004C240000}"/>
    <cellStyle name="Normal 31 4 7 4 2" xfId="5649" xr:uid="{00000000-0005-0000-0000-00004D240000}"/>
    <cellStyle name="Normal 31 4 7 4 3" xfId="10583" xr:uid="{00000000-0005-0000-0000-00004E240000}"/>
    <cellStyle name="Normal 31 4 7 5" xfId="3016" xr:uid="{00000000-0005-0000-0000-00004F240000}"/>
    <cellStyle name="Normal 31 4 7 5 2" xfId="6873" xr:uid="{00000000-0005-0000-0000-000050240000}"/>
    <cellStyle name="Normal 31 4 7 5 3" xfId="12059" xr:uid="{00000000-0005-0000-0000-000051240000}"/>
    <cellStyle name="Normal 31 4 7 6" xfId="4425" xr:uid="{00000000-0005-0000-0000-000052240000}"/>
    <cellStyle name="Normal 31 4 7 6 2" xfId="9341" xr:uid="{00000000-0005-0000-0000-000053240000}"/>
    <cellStyle name="Normal 31 4 7 7" xfId="8098" xr:uid="{00000000-0005-0000-0000-000054240000}"/>
    <cellStyle name="Normal 31 4 8" xfId="805" xr:uid="{00000000-0005-0000-0000-000055240000}"/>
    <cellStyle name="Normal 31 4 8 2" xfId="1445" xr:uid="{00000000-0005-0000-0000-000056240000}"/>
    <cellStyle name="Normal 31 4 8 2 2" xfId="2671" xr:uid="{00000000-0005-0000-0000-000057240000}"/>
    <cellStyle name="Normal 31 4 8 2 2 2" xfId="6531" xr:uid="{00000000-0005-0000-0000-000058240000}"/>
    <cellStyle name="Normal 31 4 8 2 2 3" xfId="11483" xr:uid="{00000000-0005-0000-0000-000059240000}"/>
    <cellStyle name="Normal 31 4 8 2 3" xfId="3899" xr:uid="{00000000-0005-0000-0000-00005A240000}"/>
    <cellStyle name="Normal 31 4 8 2 3 2" xfId="7755" xr:uid="{00000000-0005-0000-0000-00005B240000}"/>
    <cellStyle name="Normal 31 4 8 2 3 3" xfId="10241" xr:uid="{00000000-0005-0000-0000-00005C240000}"/>
    <cellStyle name="Normal 31 4 8 2 4" xfId="5307" xr:uid="{00000000-0005-0000-0000-00005D240000}"/>
    <cellStyle name="Normal 31 4 8 2 5" xfId="8999" xr:uid="{00000000-0005-0000-0000-00005E240000}"/>
    <cellStyle name="Normal 31 4 8 3" xfId="2059" xr:uid="{00000000-0005-0000-0000-00005F240000}"/>
    <cellStyle name="Normal 31 4 8 3 2" xfId="5919" xr:uid="{00000000-0005-0000-0000-000060240000}"/>
    <cellStyle name="Normal 31 4 8 3 3" xfId="10853" xr:uid="{00000000-0005-0000-0000-000061240000}"/>
    <cellStyle name="Normal 31 4 8 4" xfId="3287" xr:uid="{00000000-0005-0000-0000-000062240000}"/>
    <cellStyle name="Normal 31 4 8 4 2" xfId="7143" xr:uid="{00000000-0005-0000-0000-000063240000}"/>
    <cellStyle name="Normal 31 4 8 4 3" xfId="9611" xr:uid="{00000000-0005-0000-0000-000064240000}"/>
    <cellStyle name="Normal 31 4 8 5" xfId="4695" xr:uid="{00000000-0005-0000-0000-000065240000}"/>
    <cellStyle name="Normal 31 4 8 6" xfId="8368" xr:uid="{00000000-0005-0000-0000-000066240000}"/>
    <cellStyle name="Normal 31 4 9" xfId="1139" xr:uid="{00000000-0005-0000-0000-000067240000}"/>
    <cellStyle name="Normal 31 4 9 2" xfId="2365" xr:uid="{00000000-0005-0000-0000-000068240000}"/>
    <cellStyle name="Normal 31 4 9 2 2" xfId="6225" xr:uid="{00000000-0005-0000-0000-000069240000}"/>
    <cellStyle name="Normal 31 4 9 2 3" xfId="11177" xr:uid="{00000000-0005-0000-0000-00006A240000}"/>
    <cellStyle name="Normal 31 4 9 3" xfId="3593" xr:uid="{00000000-0005-0000-0000-00006B240000}"/>
    <cellStyle name="Normal 31 4 9 3 2" xfId="7449" xr:uid="{00000000-0005-0000-0000-00006C240000}"/>
    <cellStyle name="Normal 31 4 9 3 3" xfId="9935" xr:uid="{00000000-0005-0000-0000-00006D240000}"/>
    <cellStyle name="Normal 31 4 9 4" xfId="5001" xr:uid="{00000000-0005-0000-0000-00006E240000}"/>
    <cellStyle name="Normal 31 4 9 5" xfId="8693" xr:uid="{00000000-0005-0000-0000-00006F240000}"/>
    <cellStyle name="Normal 31 5" xfId="468" xr:uid="{00000000-0005-0000-0000-000070240000}"/>
    <cellStyle name="Normal 31 5 10" xfId="4400" xr:uid="{00000000-0005-0000-0000-000071240000}"/>
    <cellStyle name="Normal 31 5 10 2" xfId="9316" xr:uid="{00000000-0005-0000-0000-000072240000}"/>
    <cellStyle name="Normal 31 5 11" xfId="8073" xr:uid="{00000000-0005-0000-0000-000073240000}"/>
    <cellStyle name="Normal 31 5 2" xfId="581" xr:uid="{00000000-0005-0000-0000-000074240000}"/>
    <cellStyle name="Normal 31 5 2 2" xfId="762" xr:uid="{00000000-0005-0000-0000-000075240000}"/>
    <cellStyle name="Normal 31 5 2 2 2" xfId="1112" xr:uid="{00000000-0005-0000-0000-000076240000}"/>
    <cellStyle name="Normal 31 5 2 2 2 2" xfId="1726" xr:uid="{00000000-0005-0000-0000-000077240000}"/>
    <cellStyle name="Normal 31 5 2 2 2 2 2" xfId="2952" xr:uid="{00000000-0005-0000-0000-000078240000}"/>
    <cellStyle name="Normal 31 5 2 2 2 2 2 2" xfId="6812" xr:uid="{00000000-0005-0000-0000-000079240000}"/>
    <cellStyle name="Normal 31 5 2 2 2 2 2 3" xfId="11764" xr:uid="{00000000-0005-0000-0000-00007A240000}"/>
    <cellStyle name="Normal 31 5 2 2 2 2 3" xfId="4180" xr:uid="{00000000-0005-0000-0000-00007B240000}"/>
    <cellStyle name="Normal 31 5 2 2 2 2 3 2" xfId="8036" xr:uid="{00000000-0005-0000-0000-00007C240000}"/>
    <cellStyle name="Normal 31 5 2 2 2 2 3 3" xfId="10522" xr:uid="{00000000-0005-0000-0000-00007D240000}"/>
    <cellStyle name="Normal 31 5 2 2 2 2 4" xfId="5588" xr:uid="{00000000-0005-0000-0000-00007E240000}"/>
    <cellStyle name="Normal 31 5 2 2 2 2 5" xfId="9280" xr:uid="{00000000-0005-0000-0000-00007F240000}"/>
    <cellStyle name="Normal 31 5 2 2 2 3" xfId="2340" xr:uid="{00000000-0005-0000-0000-000080240000}"/>
    <cellStyle name="Normal 31 5 2 2 2 3 2" xfId="6200" xr:uid="{00000000-0005-0000-0000-000081240000}"/>
    <cellStyle name="Normal 31 5 2 2 2 3 3" xfId="11116" xr:uid="{00000000-0005-0000-0000-000082240000}"/>
    <cellStyle name="Normal 31 5 2 2 2 4" xfId="3568" xr:uid="{00000000-0005-0000-0000-000083240000}"/>
    <cellStyle name="Normal 31 5 2 2 2 4 2" xfId="7424" xr:uid="{00000000-0005-0000-0000-000084240000}"/>
    <cellStyle name="Normal 31 5 2 2 2 4 3" xfId="9874" xr:uid="{00000000-0005-0000-0000-000085240000}"/>
    <cellStyle name="Normal 31 5 2 2 2 5" xfId="4976" xr:uid="{00000000-0005-0000-0000-000086240000}"/>
    <cellStyle name="Normal 31 5 2 2 2 6" xfId="8631" xr:uid="{00000000-0005-0000-0000-000087240000}"/>
    <cellStyle name="Normal 31 5 2 2 3" xfId="1420" xr:uid="{00000000-0005-0000-0000-000088240000}"/>
    <cellStyle name="Normal 31 5 2 2 3 2" xfId="2646" xr:uid="{00000000-0005-0000-0000-000089240000}"/>
    <cellStyle name="Normal 31 5 2 2 3 2 2" xfId="6506" xr:uid="{00000000-0005-0000-0000-00008A240000}"/>
    <cellStyle name="Normal 31 5 2 2 3 2 3" xfId="11458" xr:uid="{00000000-0005-0000-0000-00008B240000}"/>
    <cellStyle name="Normal 31 5 2 2 3 3" xfId="3874" xr:uid="{00000000-0005-0000-0000-00008C240000}"/>
    <cellStyle name="Normal 31 5 2 2 3 3 2" xfId="7730" xr:uid="{00000000-0005-0000-0000-00008D240000}"/>
    <cellStyle name="Normal 31 5 2 2 3 3 3" xfId="10216" xr:uid="{00000000-0005-0000-0000-00008E240000}"/>
    <cellStyle name="Normal 31 5 2 2 3 4" xfId="5282" xr:uid="{00000000-0005-0000-0000-00008F240000}"/>
    <cellStyle name="Normal 31 5 2 2 3 5" xfId="8974" xr:uid="{00000000-0005-0000-0000-000090240000}"/>
    <cellStyle name="Normal 31 5 2 2 4" xfId="2034" xr:uid="{00000000-0005-0000-0000-000091240000}"/>
    <cellStyle name="Normal 31 5 2 2 4 2" xfId="5894" xr:uid="{00000000-0005-0000-0000-000092240000}"/>
    <cellStyle name="Normal 31 5 2 2 4 3" xfId="10828" xr:uid="{00000000-0005-0000-0000-000093240000}"/>
    <cellStyle name="Normal 31 5 2 2 5" xfId="3261" xr:uid="{00000000-0005-0000-0000-000094240000}"/>
    <cellStyle name="Normal 31 5 2 2 5 2" xfId="7118" xr:uid="{00000000-0005-0000-0000-000095240000}"/>
    <cellStyle name="Normal 31 5 2 2 5 3" xfId="12034" xr:uid="{00000000-0005-0000-0000-000096240000}"/>
    <cellStyle name="Normal 31 5 2 2 6" xfId="4670" xr:uid="{00000000-0005-0000-0000-000097240000}"/>
    <cellStyle name="Normal 31 5 2 2 6 2" xfId="9586" xr:uid="{00000000-0005-0000-0000-000098240000}"/>
    <cellStyle name="Normal 31 5 2 2 7" xfId="8343" xr:uid="{00000000-0005-0000-0000-000099240000}"/>
    <cellStyle name="Normal 31 5 2 3" xfId="672" xr:uid="{00000000-0005-0000-0000-00009A240000}"/>
    <cellStyle name="Normal 31 5 2 3 2" xfId="1022" xr:uid="{00000000-0005-0000-0000-00009B240000}"/>
    <cellStyle name="Normal 31 5 2 3 2 2" xfId="1636" xr:uid="{00000000-0005-0000-0000-00009C240000}"/>
    <cellStyle name="Normal 31 5 2 3 2 2 2" xfId="2862" xr:uid="{00000000-0005-0000-0000-00009D240000}"/>
    <cellStyle name="Normal 31 5 2 3 2 2 2 2" xfId="6722" xr:uid="{00000000-0005-0000-0000-00009E240000}"/>
    <cellStyle name="Normal 31 5 2 3 2 2 2 3" xfId="11674" xr:uid="{00000000-0005-0000-0000-00009F240000}"/>
    <cellStyle name="Normal 31 5 2 3 2 2 3" xfId="4090" xr:uid="{00000000-0005-0000-0000-0000A0240000}"/>
    <cellStyle name="Normal 31 5 2 3 2 2 3 2" xfId="7946" xr:uid="{00000000-0005-0000-0000-0000A1240000}"/>
    <cellStyle name="Normal 31 5 2 3 2 2 3 3" xfId="10432" xr:uid="{00000000-0005-0000-0000-0000A2240000}"/>
    <cellStyle name="Normal 31 5 2 3 2 2 4" xfId="5498" xr:uid="{00000000-0005-0000-0000-0000A3240000}"/>
    <cellStyle name="Normal 31 5 2 3 2 2 5" xfId="9190" xr:uid="{00000000-0005-0000-0000-0000A4240000}"/>
    <cellStyle name="Normal 31 5 2 3 2 3" xfId="2250" xr:uid="{00000000-0005-0000-0000-0000A5240000}"/>
    <cellStyle name="Normal 31 5 2 3 2 3 2" xfId="6110" xr:uid="{00000000-0005-0000-0000-0000A6240000}"/>
    <cellStyle name="Normal 31 5 2 3 2 3 3" xfId="11026" xr:uid="{00000000-0005-0000-0000-0000A7240000}"/>
    <cellStyle name="Normal 31 5 2 3 2 4" xfId="3478" xr:uid="{00000000-0005-0000-0000-0000A8240000}"/>
    <cellStyle name="Normal 31 5 2 3 2 4 2" xfId="7334" xr:uid="{00000000-0005-0000-0000-0000A9240000}"/>
    <cellStyle name="Normal 31 5 2 3 2 4 3" xfId="9784" xr:uid="{00000000-0005-0000-0000-0000AA240000}"/>
    <cellStyle name="Normal 31 5 2 3 2 5" xfId="4886" xr:uid="{00000000-0005-0000-0000-0000AB240000}"/>
    <cellStyle name="Normal 31 5 2 3 2 6" xfId="8541" xr:uid="{00000000-0005-0000-0000-0000AC240000}"/>
    <cellStyle name="Normal 31 5 2 3 3" xfId="1330" xr:uid="{00000000-0005-0000-0000-0000AD240000}"/>
    <cellStyle name="Normal 31 5 2 3 3 2" xfId="2556" xr:uid="{00000000-0005-0000-0000-0000AE240000}"/>
    <cellStyle name="Normal 31 5 2 3 3 2 2" xfId="6416" xr:uid="{00000000-0005-0000-0000-0000AF240000}"/>
    <cellStyle name="Normal 31 5 2 3 3 2 3" xfId="11368" xr:uid="{00000000-0005-0000-0000-0000B0240000}"/>
    <cellStyle name="Normal 31 5 2 3 3 3" xfId="3784" xr:uid="{00000000-0005-0000-0000-0000B1240000}"/>
    <cellStyle name="Normal 31 5 2 3 3 3 2" xfId="7640" xr:uid="{00000000-0005-0000-0000-0000B2240000}"/>
    <cellStyle name="Normal 31 5 2 3 3 3 3" xfId="10126" xr:uid="{00000000-0005-0000-0000-0000B3240000}"/>
    <cellStyle name="Normal 31 5 2 3 3 4" xfId="5192" xr:uid="{00000000-0005-0000-0000-0000B4240000}"/>
    <cellStyle name="Normal 31 5 2 3 3 5" xfId="8884" xr:uid="{00000000-0005-0000-0000-0000B5240000}"/>
    <cellStyle name="Normal 31 5 2 3 4" xfId="1944" xr:uid="{00000000-0005-0000-0000-0000B6240000}"/>
    <cellStyle name="Normal 31 5 2 3 4 2" xfId="5804" xr:uid="{00000000-0005-0000-0000-0000B7240000}"/>
    <cellStyle name="Normal 31 5 2 3 4 3" xfId="10738" xr:uid="{00000000-0005-0000-0000-0000B8240000}"/>
    <cellStyle name="Normal 31 5 2 3 5" xfId="3171" xr:uid="{00000000-0005-0000-0000-0000B9240000}"/>
    <cellStyle name="Normal 31 5 2 3 5 2" xfId="7028" xr:uid="{00000000-0005-0000-0000-0000BA240000}"/>
    <cellStyle name="Normal 31 5 2 3 5 3" xfId="11944" xr:uid="{00000000-0005-0000-0000-0000BB240000}"/>
    <cellStyle name="Normal 31 5 2 3 6" xfId="4580" xr:uid="{00000000-0005-0000-0000-0000BC240000}"/>
    <cellStyle name="Normal 31 5 2 3 6 2" xfId="9496" xr:uid="{00000000-0005-0000-0000-0000BD240000}"/>
    <cellStyle name="Normal 31 5 2 3 7" xfId="8253" xr:uid="{00000000-0005-0000-0000-0000BE240000}"/>
    <cellStyle name="Normal 31 5 2 4" xfId="931" xr:uid="{00000000-0005-0000-0000-0000BF240000}"/>
    <cellStyle name="Normal 31 5 2 4 2" xfId="1546" xr:uid="{00000000-0005-0000-0000-0000C0240000}"/>
    <cellStyle name="Normal 31 5 2 4 2 2" xfId="2772" xr:uid="{00000000-0005-0000-0000-0000C1240000}"/>
    <cellStyle name="Normal 31 5 2 4 2 2 2" xfId="6632" xr:uid="{00000000-0005-0000-0000-0000C2240000}"/>
    <cellStyle name="Normal 31 5 2 4 2 2 3" xfId="11584" xr:uid="{00000000-0005-0000-0000-0000C3240000}"/>
    <cellStyle name="Normal 31 5 2 4 2 3" xfId="4000" xr:uid="{00000000-0005-0000-0000-0000C4240000}"/>
    <cellStyle name="Normal 31 5 2 4 2 3 2" xfId="7856" xr:uid="{00000000-0005-0000-0000-0000C5240000}"/>
    <cellStyle name="Normal 31 5 2 4 2 3 3" xfId="10342" xr:uid="{00000000-0005-0000-0000-0000C6240000}"/>
    <cellStyle name="Normal 31 5 2 4 2 4" xfId="5408" xr:uid="{00000000-0005-0000-0000-0000C7240000}"/>
    <cellStyle name="Normal 31 5 2 4 2 5" xfId="9100" xr:uid="{00000000-0005-0000-0000-0000C8240000}"/>
    <cellStyle name="Normal 31 5 2 4 3" xfId="2160" xr:uid="{00000000-0005-0000-0000-0000C9240000}"/>
    <cellStyle name="Normal 31 5 2 4 3 2" xfId="6020" xr:uid="{00000000-0005-0000-0000-0000CA240000}"/>
    <cellStyle name="Normal 31 5 2 4 3 3" xfId="10936" xr:uid="{00000000-0005-0000-0000-0000CB240000}"/>
    <cellStyle name="Normal 31 5 2 4 4" xfId="3388" xr:uid="{00000000-0005-0000-0000-0000CC240000}"/>
    <cellStyle name="Normal 31 5 2 4 4 2" xfId="7244" xr:uid="{00000000-0005-0000-0000-0000CD240000}"/>
    <cellStyle name="Normal 31 5 2 4 4 3" xfId="9694" xr:uid="{00000000-0005-0000-0000-0000CE240000}"/>
    <cellStyle name="Normal 31 5 2 4 5" xfId="4796" xr:uid="{00000000-0005-0000-0000-0000CF240000}"/>
    <cellStyle name="Normal 31 5 2 4 6" xfId="8451" xr:uid="{00000000-0005-0000-0000-0000D0240000}"/>
    <cellStyle name="Normal 31 5 2 5" xfId="1240" xr:uid="{00000000-0005-0000-0000-0000D1240000}"/>
    <cellStyle name="Normal 31 5 2 5 2" xfId="2466" xr:uid="{00000000-0005-0000-0000-0000D2240000}"/>
    <cellStyle name="Normal 31 5 2 5 2 2" xfId="6326" xr:uid="{00000000-0005-0000-0000-0000D3240000}"/>
    <cellStyle name="Normal 31 5 2 5 2 3" xfId="11278" xr:uid="{00000000-0005-0000-0000-0000D4240000}"/>
    <cellStyle name="Normal 31 5 2 5 3" xfId="3694" xr:uid="{00000000-0005-0000-0000-0000D5240000}"/>
    <cellStyle name="Normal 31 5 2 5 3 2" xfId="7550" xr:uid="{00000000-0005-0000-0000-0000D6240000}"/>
    <cellStyle name="Normal 31 5 2 5 3 3" xfId="10036" xr:uid="{00000000-0005-0000-0000-0000D7240000}"/>
    <cellStyle name="Normal 31 5 2 5 4" xfId="5102" xr:uid="{00000000-0005-0000-0000-0000D8240000}"/>
    <cellStyle name="Normal 31 5 2 5 5" xfId="8794" xr:uid="{00000000-0005-0000-0000-0000D9240000}"/>
    <cellStyle name="Normal 31 5 2 6" xfId="1854" xr:uid="{00000000-0005-0000-0000-0000DA240000}"/>
    <cellStyle name="Normal 31 5 2 6 2" xfId="5714" xr:uid="{00000000-0005-0000-0000-0000DB240000}"/>
    <cellStyle name="Normal 31 5 2 6 3" xfId="10648" xr:uid="{00000000-0005-0000-0000-0000DC240000}"/>
    <cellStyle name="Normal 31 5 2 7" xfId="3081" xr:uid="{00000000-0005-0000-0000-0000DD240000}"/>
    <cellStyle name="Normal 31 5 2 7 2" xfId="6938" xr:uid="{00000000-0005-0000-0000-0000DE240000}"/>
    <cellStyle name="Normal 31 5 2 7 3" xfId="11854" xr:uid="{00000000-0005-0000-0000-0000DF240000}"/>
    <cellStyle name="Normal 31 5 2 8" xfId="4490" xr:uid="{00000000-0005-0000-0000-0000E0240000}"/>
    <cellStyle name="Normal 31 5 2 8 2" xfId="9406" xr:uid="{00000000-0005-0000-0000-0000E1240000}"/>
    <cellStyle name="Normal 31 5 2 9" xfId="8163" xr:uid="{00000000-0005-0000-0000-0000E2240000}"/>
    <cellStyle name="Normal 31 5 3" xfId="726" xr:uid="{00000000-0005-0000-0000-0000E3240000}"/>
    <cellStyle name="Normal 31 5 3 2" xfId="1076" xr:uid="{00000000-0005-0000-0000-0000E4240000}"/>
    <cellStyle name="Normal 31 5 3 2 2" xfId="1690" xr:uid="{00000000-0005-0000-0000-0000E5240000}"/>
    <cellStyle name="Normal 31 5 3 2 2 2" xfId="2916" xr:uid="{00000000-0005-0000-0000-0000E6240000}"/>
    <cellStyle name="Normal 31 5 3 2 2 2 2" xfId="6776" xr:uid="{00000000-0005-0000-0000-0000E7240000}"/>
    <cellStyle name="Normal 31 5 3 2 2 2 3" xfId="11728" xr:uid="{00000000-0005-0000-0000-0000E8240000}"/>
    <cellStyle name="Normal 31 5 3 2 2 3" xfId="4144" xr:uid="{00000000-0005-0000-0000-0000E9240000}"/>
    <cellStyle name="Normal 31 5 3 2 2 3 2" xfId="8000" xr:uid="{00000000-0005-0000-0000-0000EA240000}"/>
    <cellStyle name="Normal 31 5 3 2 2 3 3" xfId="10486" xr:uid="{00000000-0005-0000-0000-0000EB240000}"/>
    <cellStyle name="Normal 31 5 3 2 2 4" xfId="5552" xr:uid="{00000000-0005-0000-0000-0000EC240000}"/>
    <cellStyle name="Normal 31 5 3 2 2 5" xfId="9244" xr:uid="{00000000-0005-0000-0000-0000ED240000}"/>
    <cellStyle name="Normal 31 5 3 2 3" xfId="2304" xr:uid="{00000000-0005-0000-0000-0000EE240000}"/>
    <cellStyle name="Normal 31 5 3 2 3 2" xfId="6164" xr:uid="{00000000-0005-0000-0000-0000EF240000}"/>
    <cellStyle name="Normal 31 5 3 2 3 3" xfId="11080" xr:uid="{00000000-0005-0000-0000-0000F0240000}"/>
    <cellStyle name="Normal 31 5 3 2 4" xfId="3532" xr:uid="{00000000-0005-0000-0000-0000F1240000}"/>
    <cellStyle name="Normal 31 5 3 2 4 2" xfId="7388" xr:uid="{00000000-0005-0000-0000-0000F2240000}"/>
    <cellStyle name="Normal 31 5 3 2 4 3" xfId="9838" xr:uid="{00000000-0005-0000-0000-0000F3240000}"/>
    <cellStyle name="Normal 31 5 3 2 5" xfId="4940" xr:uid="{00000000-0005-0000-0000-0000F4240000}"/>
    <cellStyle name="Normal 31 5 3 2 6" xfId="8595" xr:uid="{00000000-0005-0000-0000-0000F5240000}"/>
    <cellStyle name="Normal 31 5 3 3" xfId="1384" xr:uid="{00000000-0005-0000-0000-0000F6240000}"/>
    <cellStyle name="Normal 31 5 3 3 2" xfId="2610" xr:uid="{00000000-0005-0000-0000-0000F7240000}"/>
    <cellStyle name="Normal 31 5 3 3 2 2" xfId="6470" xr:uid="{00000000-0005-0000-0000-0000F8240000}"/>
    <cellStyle name="Normal 31 5 3 3 2 3" xfId="11422" xr:uid="{00000000-0005-0000-0000-0000F9240000}"/>
    <cellStyle name="Normal 31 5 3 3 3" xfId="3838" xr:uid="{00000000-0005-0000-0000-0000FA240000}"/>
    <cellStyle name="Normal 31 5 3 3 3 2" xfId="7694" xr:uid="{00000000-0005-0000-0000-0000FB240000}"/>
    <cellStyle name="Normal 31 5 3 3 3 3" xfId="10180" xr:uid="{00000000-0005-0000-0000-0000FC240000}"/>
    <cellStyle name="Normal 31 5 3 3 4" xfId="5246" xr:uid="{00000000-0005-0000-0000-0000FD240000}"/>
    <cellStyle name="Normal 31 5 3 3 5" xfId="8938" xr:uid="{00000000-0005-0000-0000-0000FE240000}"/>
    <cellStyle name="Normal 31 5 3 4" xfId="1998" xr:uid="{00000000-0005-0000-0000-0000FF240000}"/>
    <cellStyle name="Normal 31 5 3 4 2" xfId="5858" xr:uid="{00000000-0005-0000-0000-000000250000}"/>
    <cellStyle name="Normal 31 5 3 4 3" xfId="10792" xr:uid="{00000000-0005-0000-0000-000001250000}"/>
    <cellStyle name="Normal 31 5 3 5" xfId="3225" xr:uid="{00000000-0005-0000-0000-000002250000}"/>
    <cellStyle name="Normal 31 5 3 5 2" xfId="7082" xr:uid="{00000000-0005-0000-0000-000003250000}"/>
    <cellStyle name="Normal 31 5 3 5 3" xfId="11998" xr:uid="{00000000-0005-0000-0000-000004250000}"/>
    <cellStyle name="Normal 31 5 3 6" xfId="4634" xr:uid="{00000000-0005-0000-0000-000005250000}"/>
    <cellStyle name="Normal 31 5 3 6 2" xfId="9550" xr:uid="{00000000-0005-0000-0000-000006250000}"/>
    <cellStyle name="Normal 31 5 3 7" xfId="8307" xr:uid="{00000000-0005-0000-0000-000007250000}"/>
    <cellStyle name="Normal 31 5 4" xfId="636" xr:uid="{00000000-0005-0000-0000-000008250000}"/>
    <cellStyle name="Normal 31 5 4 2" xfId="986" xr:uid="{00000000-0005-0000-0000-000009250000}"/>
    <cellStyle name="Normal 31 5 4 2 2" xfId="1600" xr:uid="{00000000-0005-0000-0000-00000A250000}"/>
    <cellStyle name="Normal 31 5 4 2 2 2" xfId="2826" xr:uid="{00000000-0005-0000-0000-00000B250000}"/>
    <cellStyle name="Normal 31 5 4 2 2 2 2" xfId="6686" xr:uid="{00000000-0005-0000-0000-00000C250000}"/>
    <cellStyle name="Normal 31 5 4 2 2 2 3" xfId="11638" xr:uid="{00000000-0005-0000-0000-00000D250000}"/>
    <cellStyle name="Normal 31 5 4 2 2 3" xfId="4054" xr:uid="{00000000-0005-0000-0000-00000E250000}"/>
    <cellStyle name="Normal 31 5 4 2 2 3 2" xfId="7910" xr:uid="{00000000-0005-0000-0000-00000F250000}"/>
    <cellStyle name="Normal 31 5 4 2 2 3 3" xfId="10396" xr:uid="{00000000-0005-0000-0000-000010250000}"/>
    <cellStyle name="Normal 31 5 4 2 2 4" xfId="5462" xr:uid="{00000000-0005-0000-0000-000011250000}"/>
    <cellStyle name="Normal 31 5 4 2 2 5" xfId="9154" xr:uid="{00000000-0005-0000-0000-000012250000}"/>
    <cellStyle name="Normal 31 5 4 2 3" xfId="2214" xr:uid="{00000000-0005-0000-0000-000013250000}"/>
    <cellStyle name="Normal 31 5 4 2 3 2" xfId="6074" xr:uid="{00000000-0005-0000-0000-000014250000}"/>
    <cellStyle name="Normal 31 5 4 2 3 3" xfId="10990" xr:uid="{00000000-0005-0000-0000-000015250000}"/>
    <cellStyle name="Normal 31 5 4 2 4" xfId="3442" xr:uid="{00000000-0005-0000-0000-000016250000}"/>
    <cellStyle name="Normal 31 5 4 2 4 2" xfId="7298" xr:uid="{00000000-0005-0000-0000-000017250000}"/>
    <cellStyle name="Normal 31 5 4 2 4 3" xfId="9748" xr:uid="{00000000-0005-0000-0000-000018250000}"/>
    <cellStyle name="Normal 31 5 4 2 5" xfId="4850" xr:uid="{00000000-0005-0000-0000-000019250000}"/>
    <cellStyle name="Normal 31 5 4 2 6" xfId="8505" xr:uid="{00000000-0005-0000-0000-00001A250000}"/>
    <cellStyle name="Normal 31 5 4 3" xfId="1294" xr:uid="{00000000-0005-0000-0000-00001B250000}"/>
    <cellStyle name="Normal 31 5 4 3 2" xfId="2520" xr:uid="{00000000-0005-0000-0000-00001C250000}"/>
    <cellStyle name="Normal 31 5 4 3 2 2" xfId="6380" xr:uid="{00000000-0005-0000-0000-00001D250000}"/>
    <cellStyle name="Normal 31 5 4 3 2 3" xfId="11332" xr:uid="{00000000-0005-0000-0000-00001E250000}"/>
    <cellStyle name="Normal 31 5 4 3 3" xfId="3748" xr:uid="{00000000-0005-0000-0000-00001F250000}"/>
    <cellStyle name="Normal 31 5 4 3 3 2" xfId="7604" xr:uid="{00000000-0005-0000-0000-000020250000}"/>
    <cellStyle name="Normal 31 5 4 3 3 3" xfId="10090" xr:uid="{00000000-0005-0000-0000-000021250000}"/>
    <cellStyle name="Normal 31 5 4 3 4" xfId="5156" xr:uid="{00000000-0005-0000-0000-000022250000}"/>
    <cellStyle name="Normal 31 5 4 3 5" xfId="8848" xr:uid="{00000000-0005-0000-0000-000023250000}"/>
    <cellStyle name="Normal 31 5 4 4" xfId="1908" xr:uid="{00000000-0005-0000-0000-000024250000}"/>
    <cellStyle name="Normal 31 5 4 4 2" xfId="5768" xr:uid="{00000000-0005-0000-0000-000025250000}"/>
    <cellStyle name="Normal 31 5 4 4 3" xfId="10702" xr:uid="{00000000-0005-0000-0000-000026250000}"/>
    <cellStyle name="Normal 31 5 4 5" xfId="3135" xr:uid="{00000000-0005-0000-0000-000027250000}"/>
    <cellStyle name="Normal 31 5 4 5 2" xfId="6992" xr:uid="{00000000-0005-0000-0000-000028250000}"/>
    <cellStyle name="Normal 31 5 4 5 3" xfId="11908" xr:uid="{00000000-0005-0000-0000-000029250000}"/>
    <cellStyle name="Normal 31 5 4 6" xfId="4544" xr:uid="{00000000-0005-0000-0000-00002A250000}"/>
    <cellStyle name="Normal 31 5 4 6 2" xfId="9460" xr:uid="{00000000-0005-0000-0000-00002B250000}"/>
    <cellStyle name="Normal 31 5 4 7" xfId="8217" xr:uid="{00000000-0005-0000-0000-00002C250000}"/>
    <cellStyle name="Normal 31 5 5" xfId="542" xr:uid="{00000000-0005-0000-0000-00002D250000}"/>
    <cellStyle name="Normal 31 5 5 2" xfId="892" xr:uid="{00000000-0005-0000-0000-00002E250000}"/>
    <cellStyle name="Normal 31 5 5 2 2" xfId="1510" xr:uid="{00000000-0005-0000-0000-00002F250000}"/>
    <cellStyle name="Normal 31 5 5 2 2 2" xfId="2736" xr:uid="{00000000-0005-0000-0000-000030250000}"/>
    <cellStyle name="Normal 31 5 5 2 2 2 2" xfId="6596" xr:uid="{00000000-0005-0000-0000-000031250000}"/>
    <cellStyle name="Normal 31 5 5 2 2 2 3" xfId="11548" xr:uid="{00000000-0005-0000-0000-000032250000}"/>
    <cellStyle name="Normal 31 5 5 2 2 3" xfId="3964" xr:uid="{00000000-0005-0000-0000-000033250000}"/>
    <cellStyle name="Normal 31 5 5 2 2 3 2" xfId="7820" xr:uid="{00000000-0005-0000-0000-000034250000}"/>
    <cellStyle name="Normal 31 5 5 2 2 3 3" xfId="10306" xr:uid="{00000000-0005-0000-0000-000035250000}"/>
    <cellStyle name="Normal 31 5 5 2 2 4" xfId="5372" xr:uid="{00000000-0005-0000-0000-000036250000}"/>
    <cellStyle name="Normal 31 5 5 2 2 5" xfId="9064" xr:uid="{00000000-0005-0000-0000-000037250000}"/>
    <cellStyle name="Normal 31 5 5 2 3" xfId="2124" xr:uid="{00000000-0005-0000-0000-000038250000}"/>
    <cellStyle name="Normal 31 5 5 2 3 2" xfId="5984" xr:uid="{00000000-0005-0000-0000-000039250000}"/>
    <cellStyle name="Normal 31 5 5 2 3 3" xfId="11152" xr:uid="{00000000-0005-0000-0000-00003A250000}"/>
    <cellStyle name="Normal 31 5 5 2 4" xfId="3352" xr:uid="{00000000-0005-0000-0000-00003B250000}"/>
    <cellStyle name="Normal 31 5 5 2 4 2" xfId="7208" xr:uid="{00000000-0005-0000-0000-00003C250000}"/>
    <cellStyle name="Normal 31 5 5 2 4 3" xfId="9910" xr:uid="{00000000-0005-0000-0000-00003D250000}"/>
    <cellStyle name="Normal 31 5 5 2 5" xfId="4760" xr:uid="{00000000-0005-0000-0000-00003E250000}"/>
    <cellStyle name="Normal 31 5 5 2 6" xfId="8668" xr:uid="{00000000-0005-0000-0000-00003F250000}"/>
    <cellStyle name="Normal 31 5 5 3" xfId="1204" xr:uid="{00000000-0005-0000-0000-000040250000}"/>
    <cellStyle name="Normal 31 5 5 3 2" xfId="2430" xr:uid="{00000000-0005-0000-0000-000041250000}"/>
    <cellStyle name="Normal 31 5 5 3 2 2" xfId="6290" xr:uid="{00000000-0005-0000-0000-000042250000}"/>
    <cellStyle name="Normal 31 5 5 3 2 3" xfId="11242" xr:uid="{00000000-0005-0000-0000-000043250000}"/>
    <cellStyle name="Normal 31 5 5 3 3" xfId="3658" xr:uid="{00000000-0005-0000-0000-000044250000}"/>
    <cellStyle name="Normal 31 5 5 3 3 2" xfId="7514" xr:uid="{00000000-0005-0000-0000-000045250000}"/>
    <cellStyle name="Normal 31 5 5 3 3 3" xfId="10000" xr:uid="{00000000-0005-0000-0000-000046250000}"/>
    <cellStyle name="Normal 31 5 5 3 4" xfId="5066" xr:uid="{00000000-0005-0000-0000-000047250000}"/>
    <cellStyle name="Normal 31 5 5 3 5" xfId="8758" xr:uid="{00000000-0005-0000-0000-000048250000}"/>
    <cellStyle name="Normal 31 5 5 4" xfId="1818" xr:uid="{00000000-0005-0000-0000-000049250000}"/>
    <cellStyle name="Normal 31 5 5 4 2" xfId="5678" xr:uid="{00000000-0005-0000-0000-00004A250000}"/>
    <cellStyle name="Normal 31 5 5 4 2 2" xfId="11134" xr:uid="{00000000-0005-0000-0000-00004B250000}"/>
    <cellStyle name="Normal 31 5 5 4 3" xfId="9892" xr:uid="{00000000-0005-0000-0000-00004C250000}"/>
    <cellStyle name="Normal 31 5 5 4 4" xfId="8649" xr:uid="{00000000-0005-0000-0000-00004D250000}"/>
    <cellStyle name="Normal 31 5 5 5" xfId="3045" xr:uid="{00000000-0005-0000-0000-00004E250000}"/>
    <cellStyle name="Normal 31 5 5 5 2" xfId="6902" xr:uid="{00000000-0005-0000-0000-00004F250000}"/>
    <cellStyle name="Normal 31 5 5 5 3" xfId="10612" xr:uid="{00000000-0005-0000-0000-000050250000}"/>
    <cellStyle name="Normal 31 5 5 6" xfId="4454" xr:uid="{00000000-0005-0000-0000-000051250000}"/>
    <cellStyle name="Normal 31 5 5 6 2" xfId="9370" xr:uid="{00000000-0005-0000-0000-000052250000}"/>
    <cellStyle name="Normal 31 5 5 7" xfId="8127" xr:uid="{00000000-0005-0000-0000-000053250000}"/>
    <cellStyle name="Normal 31 5 6" xfId="818" xr:uid="{00000000-0005-0000-0000-000054250000}"/>
    <cellStyle name="Normal 31 5 6 2" xfId="1456" xr:uid="{00000000-0005-0000-0000-000055250000}"/>
    <cellStyle name="Normal 31 5 6 2 2" xfId="2682" xr:uid="{00000000-0005-0000-0000-000056250000}"/>
    <cellStyle name="Normal 31 5 6 2 2 2" xfId="6542" xr:uid="{00000000-0005-0000-0000-000057250000}"/>
    <cellStyle name="Normal 31 5 6 2 2 3" xfId="11494" xr:uid="{00000000-0005-0000-0000-000058250000}"/>
    <cellStyle name="Normal 31 5 6 2 3" xfId="3910" xr:uid="{00000000-0005-0000-0000-000059250000}"/>
    <cellStyle name="Normal 31 5 6 2 3 2" xfId="7766" xr:uid="{00000000-0005-0000-0000-00005A250000}"/>
    <cellStyle name="Normal 31 5 6 2 3 3" xfId="10252" xr:uid="{00000000-0005-0000-0000-00005B250000}"/>
    <cellStyle name="Normal 31 5 6 2 4" xfId="5318" xr:uid="{00000000-0005-0000-0000-00005C250000}"/>
    <cellStyle name="Normal 31 5 6 2 5" xfId="9010" xr:uid="{00000000-0005-0000-0000-00005D250000}"/>
    <cellStyle name="Normal 31 5 6 3" xfId="2070" xr:uid="{00000000-0005-0000-0000-00005E250000}"/>
    <cellStyle name="Normal 31 5 6 3 2" xfId="5930" xr:uid="{00000000-0005-0000-0000-00005F250000}"/>
    <cellStyle name="Normal 31 5 6 3 3" xfId="10900" xr:uid="{00000000-0005-0000-0000-000060250000}"/>
    <cellStyle name="Normal 31 5 6 4" xfId="3298" xr:uid="{00000000-0005-0000-0000-000061250000}"/>
    <cellStyle name="Normal 31 5 6 4 2" xfId="7154" xr:uid="{00000000-0005-0000-0000-000062250000}"/>
    <cellStyle name="Normal 31 5 6 4 3" xfId="9658" xr:uid="{00000000-0005-0000-0000-000063250000}"/>
    <cellStyle name="Normal 31 5 6 5" xfId="4706" xr:uid="{00000000-0005-0000-0000-000064250000}"/>
    <cellStyle name="Normal 31 5 6 6" xfId="8415" xr:uid="{00000000-0005-0000-0000-000065250000}"/>
    <cellStyle name="Normal 31 5 7" xfId="1150" xr:uid="{00000000-0005-0000-0000-000066250000}"/>
    <cellStyle name="Normal 31 5 7 2" xfId="2376" xr:uid="{00000000-0005-0000-0000-000067250000}"/>
    <cellStyle name="Normal 31 5 7 2 2" xfId="6236" xr:uid="{00000000-0005-0000-0000-000068250000}"/>
    <cellStyle name="Normal 31 5 7 2 3" xfId="11188" xr:uid="{00000000-0005-0000-0000-000069250000}"/>
    <cellStyle name="Normal 31 5 7 3" xfId="3604" xr:uid="{00000000-0005-0000-0000-00006A250000}"/>
    <cellStyle name="Normal 31 5 7 3 2" xfId="7460" xr:uid="{00000000-0005-0000-0000-00006B250000}"/>
    <cellStyle name="Normal 31 5 7 3 3" xfId="9946" xr:uid="{00000000-0005-0000-0000-00006C250000}"/>
    <cellStyle name="Normal 31 5 7 4" xfId="5012" xr:uid="{00000000-0005-0000-0000-00006D250000}"/>
    <cellStyle name="Normal 31 5 7 5" xfId="8704" xr:uid="{00000000-0005-0000-0000-00006E250000}"/>
    <cellStyle name="Normal 31 5 8" xfId="1764" xr:uid="{00000000-0005-0000-0000-00006F250000}"/>
    <cellStyle name="Normal 31 5 8 2" xfId="5624" xr:uid="{00000000-0005-0000-0000-000070250000}"/>
    <cellStyle name="Normal 31 5 8 3" xfId="10558" xr:uid="{00000000-0005-0000-0000-000071250000}"/>
    <cellStyle name="Normal 31 5 9" xfId="2991" xr:uid="{00000000-0005-0000-0000-000072250000}"/>
    <cellStyle name="Normal 31 5 9 2" xfId="6848" xr:uid="{00000000-0005-0000-0000-000073250000}"/>
    <cellStyle name="Normal 31 5 9 3" xfId="11818" xr:uid="{00000000-0005-0000-0000-000074250000}"/>
    <cellStyle name="Normal 31 6" xfId="563" xr:uid="{00000000-0005-0000-0000-000075250000}"/>
    <cellStyle name="Normal 31 6 2" xfId="744" xr:uid="{00000000-0005-0000-0000-000076250000}"/>
    <cellStyle name="Normal 31 6 2 2" xfId="1094" xr:uid="{00000000-0005-0000-0000-000077250000}"/>
    <cellStyle name="Normal 31 6 2 2 2" xfId="1708" xr:uid="{00000000-0005-0000-0000-000078250000}"/>
    <cellStyle name="Normal 31 6 2 2 2 2" xfId="2934" xr:uid="{00000000-0005-0000-0000-000079250000}"/>
    <cellStyle name="Normal 31 6 2 2 2 2 2" xfId="6794" xr:uid="{00000000-0005-0000-0000-00007A250000}"/>
    <cellStyle name="Normal 31 6 2 2 2 2 3" xfId="11746" xr:uid="{00000000-0005-0000-0000-00007B250000}"/>
    <cellStyle name="Normal 31 6 2 2 2 3" xfId="4162" xr:uid="{00000000-0005-0000-0000-00007C250000}"/>
    <cellStyle name="Normal 31 6 2 2 2 3 2" xfId="8018" xr:uid="{00000000-0005-0000-0000-00007D250000}"/>
    <cellStyle name="Normal 31 6 2 2 2 3 3" xfId="10504" xr:uid="{00000000-0005-0000-0000-00007E250000}"/>
    <cellStyle name="Normal 31 6 2 2 2 4" xfId="5570" xr:uid="{00000000-0005-0000-0000-00007F250000}"/>
    <cellStyle name="Normal 31 6 2 2 2 5" xfId="9262" xr:uid="{00000000-0005-0000-0000-000080250000}"/>
    <cellStyle name="Normal 31 6 2 2 3" xfId="2322" xr:uid="{00000000-0005-0000-0000-000081250000}"/>
    <cellStyle name="Normal 31 6 2 2 3 2" xfId="6182" xr:uid="{00000000-0005-0000-0000-000082250000}"/>
    <cellStyle name="Normal 31 6 2 2 3 3" xfId="11098" xr:uid="{00000000-0005-0000-0000-000083250000}"/>
    <cellStyle name="Normal 31 6 2 2 4" xfId="3550" xr:uid="{00000000-0005-0000-0000-000084250000}"/>
    <cellStyle name="Normal 31 6 2 2 4 2" xfId="7406" xr:uid="{00000000-0005-0000-0000-000085250000}"/>
    <cellStyle name="Normal 31 6 2 2 4 3" xfId="9856" xr:uid="{00000000-0005-0000-0000-000086250000}"/>
    <cellStyle name="Normal 31 6 2 2 5" xfId="4958" xr:uid="{00000000-0005-0000-0000-000087250000}"/>
    <cellStyle name="Normal 31 6 2 2 6" xfId="8613" xr:uid="{00000000-0005-0000-0000-000088250000}"/>
    <cellStyle name="Normal 31 6 2 3" xfId="1402" xr:uid="{00000000-0005-0000-0000-000089250000}"/>
    <cellStyle name="Normal 31 6 2 3 2" xfId="2628" xr:uid="{00000000-0005-0000-0000-00008A250000}"/>
    <cellStyle name="Normal 31 6 2 3 2 2" xfId="6488" xr:uid="{00000000-0005-0000-0000-00008B250000}"/>
    <cellStyle name="Normal 31 6 2 3 2 3" xfId="11440" xr:uid="{00000000-0005-0000-0000-00008C250000}"/>
    <cellStyle name="Normal 31 6 2 3 3" xfId="3856" xr:uid="{00000000-0005-0000-0000-00008D250000}"/>
    <cellStyle name="Normal 31 6 2 3 3 2" xfId="7712" xr:uid="{00000000-0005-0000-0000-00008E250000}"/>
    <cellStyle name="Normal 31 6 2 3 3 3" xfId="10198" xr:uid="{00000000-0005-0000-0000-00008F250000}"/>
    <cellStyle name="Normal 31 6 2 3 4" xfId="5264" xr:uid="{00000000-0005-0000-0000-000090250000}"/>
    <cellStyle name="Normal 31 6 2 3 5" xfId="8956" xr:uid="{00000000-0005-0000-0000-000091250000}"/>
    <cellStyle name="Normal 31 6 2 4" xfId="2016" xr:uid="{00000000-0005-0000-0000-000092250000}"/>
    <cellStyle name="Normal 31 6 2 4 2" xfId="5876" xr:uid="{00000000-0005-0000-0000-000093250000}"/>
    <cellStyle name="Normal 31 6 2 4 3" xfId="10810" xr:uid="{00000000-0005-0000-0000-000094250000}"/>
    <cellStyle name="Normal 31 6 2 5" xfId="3243" xr:uid="{00000000-0005-0000-0000-000095250000}"/>
    <cellStyle name="Normal 31 6 2 5 2" xfId="7100" xr:uid="{00000000-0005-0000-0000-000096250000}"/>
    <cellStyle name="Normal 31 6 2 5 3" xfId="12016" xr:uid="{00000000-0005-0000-0000-000097250000}"/>
    <cellStyle name="Normal 31 6 2 6" xfId="4652" xr:uid="{00000000-0005-0000-0000-000098250000}"/>
    <cellStyle name="Normal 31 6 2 6 2" xfId="9568" xr:uid="{00000000-0005-0000-0000-000099250000}"/>
    <cellStyle name="Normal 31 6 2 7" xfId="8325" xr:uid="{00000000-0005-0000-0000-00009A250000}"/>
    <cellStyle name="Normal 31 6 3" xfId="654" xr:uid="{00000000-0005-0000-0000-00009B250000}"/>
    <cellStyle name="Normal 31 6 3 2" xfId="1004" xr:uid="{00000000-0005-0000-0000-00009C250000}"/>
    <cellStyle name="Normal 31 6 3 2 2" xfId="1618" xr:uid="{00000000-0005-0000-0000-00009D250000}"/>
    <cellStyle name="Normal 31 6 3 2 2 2" xfId="2844" xr:uid="{00000000-0005-0000-0000-00009E250000}"/>
    <cellStyle name="Normal 31 6 3 2 2 2 2" xfId="6704" xr:uid="{00000000-0005-0000-0000-00009F250000}"/>
    <cellStyle name="Normal 31 6 3 2 2 2 3" xfId="11656" xr:uid="{00000000-0005-0000-0000-0000A0250000}"/>
    <cellStyle name="Normal 31 6 3 2 2 3" xfId="4072" xr:uid="{00000000-0005-0000-0000-0000A1250000}"/>
    <cellStyle name="Normal 31 6 3 2 2 3 2" xfId="7928" xr:uid="{00000000-0005-0000-0000-0000A2250000}"/>
    <cellStyle name="Normal 31 6 3 2 2 3 3" xfId="10414" xr:uid="{00000000-0005-0000-0000-0000A3250000}"/>
    <cellStyle name="Normal 31 6 3 2 2 4" xfId="5480" xr:uid="{00000000-0005-0000-0000-0000A4250000}"/>
    <cellStyle name="Normal 31 6 3 2 2 5" xfId="9172" xr:uid="{00000000-0005-0000-0000-0000A5250000}"/>
    <cellStyle name="Normal 31 6 3 2 3" xfId="2232" xr:uid="{00000000-0005-0000-0000-0000A6250000}"/>
    <cellStyle name="Normal 31 6 3 2 3 2" xfId="6092" xr:uid="{00000000-0005-0000-0000-0000A7250000}"/>
    <cellStyle name="Normal 31 6 3 2 3 3" xfId="11008" xr:uid="{00000000-0005-0000-0000-0000A8250000}"/>
    <cellStyle name="Normal 31 6 3 2 4" xfId="3460" xr:uid="{00000000-0005-0000-0000-0000A9250000}"/>
    <cellStyle name="Normal 31 6 3 2 4 2" xfId="7316" xr:uid="{00000000-0005-0000-0000-0000AA250000}"/>
    <cellStyle name="Normal 31 6 3 2 4 3" xfId="9766" xr:uid="{00000000-0005-0000-0000-0000AB250000}"/>
    <cellStyle name="Normal 31 6 3 2 5" xfId="4868" xr:uid="{00000000-0005-0000-0000-0000AC250000}"/>
    <cellStyle name="Normal 31 6 3 2 6" xfId="8523" xr:uid="{00000000-0005-0000-0000-0000AD250000}"/>
    <cellStyle name="Normal 31 6 3 3" xfId="1312" xr:uid="{00000000-0005-0000-0000-0000AE250000}"/>
    <cellStyle name="Normal 31 6 3 3 2" xfId="2538" xr:uid="{00000000-0005-0000-0000-0000AF250000}"/>
    <cellStyle name="Normal 31 6 3 3 2 2" xfId="6398" xr:uid="{00000000-0005-0000-0000-0000B0250000}"/>
    <cellStyle name="Normal 31 6 3 3 2 3" xfId="11350" xr:uid="{00000000-0005-0000-0000-0000B1250000}"/>
    <cellStyle name="Normal 31 6 3 3 3" xfId="3766" xr:uid="{00000000-0005-0000-0000-0000B2250000}"/>
    <cellStyle name="Normal 31 6 3 3 3 2" xfId="7622" xr:uid="{00000000-0005-0000-0000-0000B3250000}"/>
    <cellStyle name="Normal 31 6 3 3 3 3" xfId="10108" xr:uid="{00000000-0005-0000-0000-0000B4250000}"/>
    <cellStyle name="Normal 31 6 3 3 4" xfId="5174" xr:uid="{00000000-0005-0000-0000-0000B5250000}"/>
    <cellStyle name="Normal 31 6 3 3 5" xfId="8866" xr:uid="{00000000-0005-0000-0000-0000B6250000}"/>
    <cellStyle name="Normal 31 6 3 4" xfId="1926" xr:uid="{00000000-0005-0000-0000-0000B7250000}"/>
    <cellStyle name="Normal 31 6 3 4 2" xfId="5786" xr:uid="{00000000-0005-0000-0000-0000B8250000}"/>
    <cellStyle name="Normal 31 6 3 4 3" xfId="10720" xr:uid="{00000000-0005-0000-0000-0000B9250000}"/>
    <cellStyle name="Normal 31 6 3 5" xfId="3153" xr:uid="{00000000-0005-0000-0000-0000BA250000}"/>
    <cellStyle name="Normal 31 6 3 5 2" xfId="7010" xr:uid="{00000000-0005-0000-0000-0000BB250000}"/>
    <cellStyle name="Normal 31 6 3 5 3" xfId="11926" xr:uid="{00000000-0005-0000-0000-0000BC250000}"/>
    <cellStyle name="Normal 31 6 3 6" xfId="4562" xr:uid="{00000000-0005-0000-0000-0000BD250000}"/>
    <cellStyle name="Normal 31 6 3 6 2" xfId="9478" xr:uid="{00000000-0005-0000-0000-0000BE250000}"/>
    <cellStyle name="Normal 31 6 3 7" xfId="8235" xr:uid="{00000000-0005-0000-0000-0000BF250000}"/>
    <cellStyle name="Normal 31 6 4" xfId="913" xr:uid="{00000000-0005-0000-0000-0000C0250000}"/>
    <cellStyle name="Normal 31 6 4 2" xfId="1528" xr:uid="{00000000-0005-0000-0000-0000C1250000}"/>
    <cellStyle name="Normal 31 6 4 2 2" xfId="2754" xr:uid="{00000000-0005-0000-0000-0000C2250000}"/>
    <cellStyle name="Normal 31 6 4 2 2 2" xfId="6614" xr:uid="{00000000-0005-0000-0000-0000C3250000}"/>
    <cellStyle name="Normal 31 6 4 2 2 3" xfId="11566" xr:uid="{00000000-0005-0000-0000-0000C4250000}"/>
    <cellStyle name="Normal 31 6 4 2 3" xfId="3982" xr:uid="{00000000-0005-0000-0000-0000C5250000}"/>
    <cellStyle name="Normal 31 6 4 2 3 2" xfId="7838" xr:uid="{00000000-0005-0000-0000-0000C6250000}"/>
    <cellStyle name="Normal 31 6 4 2 3 3" xfId="10324" xr:uid="{00000000-0005-0000-0000-0000C7250000}"/>
    <cellStyle name="Normal 31 6 4 2 4" xfId="5390" xr:uid="{00000000-0005-0000-0000-0000C8250000}"/>
    <cellStyle name="Normal 31 6 4 2 5" xfId="9082" xr:uid="{00000000-0005-0000-0000-0000C9250000}"/>
    <cellStyle name="Normal 31 6 4 3" xfId="2142" xr:uid="{00000000-0005-0000-0000-0000CA250000}"/>
    <cellStyle name="Normal 31 6 4 3 2" xfId="6002" xr:uid="{00000000-0005-0000-0000-0000CB250000}"/>
    <cellStyle name="Normal 31 6 4 3 3" xfId="10918" xr:uid="{00000000-0005-0000-0000-0000CC250000}"/>
    <cellStyle name="Normal 31 6 4 4" xfId="3370" xr:uid="{00000000-0005-0000-0000-0000CD250000}"/>
    <cellStyle name="Normal 31 6 4 4 2" xfId="7226" xr:uid="{00000000-0005-0000-0000-0000CE250000}"/>
    <cellStyle name="Normal 31 6 4 4 3" xfId="9676" xr:uid="{00000000-0005-0000-0000-0000CF250000}"/>
    <cellStyle name="Normal 31 6 4 5" xfId="4778" xr:uid="{00000000-0005-0000-0000-0000D0250000}"/>
    <cellStyle name="Normal 31 6 4 6" xfId="8433" xr:uid="{00000000-0005-0000-0000-0000D1250000}"/>
    <cellStyle name="Normal 31 6 5" xfId="1222" xr:uid="{00000000-0005-0000-0000-0000D2250000}"/>
    <cellStyle name="Normal 31 6 5 2" xfId="2448" xr:uid="{00000000-0005-0000-0000-0000D3250000}"/>
    <cellStyle name="Normal 31 6 5 2 2" xfId="6308" xr:uid="{00000000-0005-0000-0000-0000D4250000}"/>
    <cellStyle name="Normal 31 6 5 2 3" xfId="11260" xr:uid="{00000000-0005-0000-0000-0000D5250000}"/>
    <cellStyle name="Normal 31 6 5 3" xfId="3676" xr:uid="{00000000-0005-0000-0000-0000D6250000}"/>
    <cellStyle name="Normal 31 6 5 3 2" xfId="7532" xr:uid="{00000000-0005-0000-0000-0000D7250000}"/>
    <cellStyle name="Normal 31 6 5 3 3" xfId="10018" xr:uid="{00000000-0005-0000-0000-0000D8250000}"/>
    <cellStyle name="Normal 31 6 5 4" xfId="5084" xr:uid="{00000000-0005-0000-0000-0000D9250000}"/>
    <cellStyle name="Normal 31 6 5 5" xfId="8776" xr:uid="{00000000-0005-0000-0000-0000DA250000}"/>
    <cellStyle name="Normal 31 6 6" xfId="1836" xr:uid="{00000000-0005-0000-0000-0000DB250000}"/>
    <cellStyle name="Normal 31 6 6 2" xfId="5696" xr:uid="{00000000-0005-0000-0000-0000DC250000}"/>
    <cellStyle name="Normal 31 6 6 3" xfId="10630" xr:uid="{00000000-0005-0000-0000-0000DD250000}"/>
    <cellStyle name="Normal 31 6 7" xfId="3063" xr:uid="{00000000-0005-0000-0000-0000DE250000}"/>
    <cellStyle name="Normal 31 6 7 2" xfId="6920" xr:uid="{00000000-0005-0000-0000-0000DF250000}"/>
    <cellStyle name="Normal 31 6 7 3" xfId="11836" xr:uid="{00000000-0005-0000-0000-0000E0250000}"/>
    <cellStyle name="Normal 31 6 8" xfId="4472" xr:uid="{00000000-0005-0000-0000-0000E1250000}"/>
    <cellStyle name="Normal 31 6 8 2" xfId="9388" xr:uid="{00000000-0005-0000-0000-0000E2250000}"/>
    <cellStyle name="Normal 31 6 9" xfId="8145" xr:uid="{00000000-0005-0000-0000-0000E3250000}"/>
    <cellStyle name="Normal 31 7" xfId="506" xr:uid="{00000000-0005-0000-0000-0000E4250000}"/>
    <cellStyle name="Normal 31 7 2" xfId="708" xr:uid="{00000000-0005-0000-0000-0000E5250000}"/>
    <cellStyle name="Normal 31 7 2 2" xfId="1058" xr:uid="{00000000-0005-0000-0000-0000E6250000}"/>
    <cellStyle name="Normal 31 7 2 2 2" xfId="1672" xr:uid="{00000000-0005-0000-0000-0000E7250000}"/>
    <cellStyle name="Normal 31 7 2 2 2 2" xfId="2898" xr:uid="{00000000-0005-0000-0000-0000E8250000}"/>
    <cellStyle name="Normal 31 7 2 2 2 2 2" xfId="6758" xr:uid="{00000000-0005-0000-0000-0000E9250000}"/>
    <cellStyle name="Normal 31 7 2 2 2 2 3" xfId="11710" xr:uid="{00000000-0005-0000-0000-0000EA250000}"/>
    <cellStyle name="Normal 31 7 2 2 2 3" xfId="4126" xr:uid="{00000000-0005-0000-0000-0000EB250000}"/>
    <cellStyle name="Normal 31 7 2 2 2 3 2" xfId="7982" xr:uid="{00000000-0005-0000-0000-0000EC250000}"/>
    <cellStyle name="Normal 31 7 2 2 2 3 3" xfId="10468" xr:uid="{00000000-0005-0000-0000-0000ED250000}"/>
    <cellStyle name="Normal 31 7 2 2 2 4" xfId="5534" xr:uid="{00000000-0005-0000-0000-0000EE250000}"/>
    <cellStyle name="Normal 31 7 2 2 2 5" xfId="9226" xr:uid="{00000000-0005-0000-0000-0000EF250000}"/>
    <cellStyle name="Normal 31 7 2 2 3" xfId="2286" xr:uid="{00000000-0005-0000-0000-0000F0250000}"/>
    <cellStyle name="Normal 31 7 2 2 3 2" xfId="6146" xr:uid="{00000000-0005-0000-0000-0000F1250000}"/>
    <cellStyle name="Normal 31 7 2 2 3 3" xfId="11062" xr:uid="{00000000-0005-0000-0000-0000F2250000}"/>
    <cellStyle name="Normal 31 7 2 2 4" xfId="3514" xr:uid="{00000000-0005-0000-0000-0000F3250000}"/>
    <cellStyle name="Normal 31 7 2 2 4 2" xfId="7370" xr:uid="{00000000-0005-0000-0000-0000F4250000}"/>
    <cellStyle name="Normal 31 7 2 2 4 3" xfId="9820" xr:uid="{00000000-0005-0000-0000-0000F5250000}"/>
    <cellStyle name="Normal 31 7 2 2 5" xfId="4922" xr:uid="{00000000-0005-0000-0000-0000F6250000}"/>
    <cellStyle name="Normal 31 7 2 2 6" xfId="8577" xr:uid="{00000000-0005-0000-0000-0000F7250000}"/>
    <cellStyle name="Normal 31 7 2 3" xfId="1366" xr:uid="{00000000-0005-0000-0000-0000F8250000}"/>
    <cellStyle name="Normal 31 7 2 3 2" xfId="2592" xr:uid="{00000000-0005-0000-0000-0000F9250000}"/>
    <cellStyle name="Normal 31 7 2 3 2 2" xfId="6452" xr:uid="{00000000-0005-0000-0000-0000FA250000}"/>
    <cellStyle name="Normal 31 7 2 3 2 3" xfId="11404" xr:uid="{00000000-0005-0000-0000-0000FB250000}"/>
    <cellStyle name="Normal 31 7 2 3 3" xfId="3820" xr:uid="{00000000-0005-0000-0000-0000FC250000}"/>
    <cellStyle name="Normal 31 7 2 3 3 2" xfId="7676" xr:uid="{00000000-0005-0000-0000-0000FD250000}"/>
    <cellStyle name="Normal 31 7 2 3 3 3" xfId="10162" xr:uid="{00000000-0005-0000-0000-0000FE250000}"/>
    <cellStyle name="Normal 31 7 2 3 4" xfId="5228" xr:uid="{00000000-0005-0000-0000-0000FF250000}"/>
    <cellStyle name="Normal 31 7 2 3 5" xfId="8920" xr:uid="{00000000-0005-0000-0000-000000260000}"/>
    <cellStyle name="Normal 31 7 2 4" xfId="1980" xr:uid="{00000000-0005-0000-0000-000001260000}"/>
    <cellStyle name="Normal 31 7 2 4 2" xfId="5840" xr:uid="{00000000-0005-0000-0000-000002260000}"/>
    <cellStyle name="Normal 31 7 2 4 3" xfId="10774" xr:uid="{00000000-0005-0000-0000-000003260000}"/>
    <cellStyle name="Normal 31 7 2 5" xfId="3207" xr:uid="{00000000-0005-0000-0000-000004260000}"/>
    <cellStyle name="Normal 31 7 2 5 2" xfId="7064" xr:uid="{00000000-0005-0000-0000-000005260000}"/>
    <cellStyle name="Normal 31 7 2 5 3" xfId="11980" xr:uid="{00000000-0005-0000-0000-000006260000}"/>
    <cellStyle name="Normal 31 7 2 6" xfId="4616" xr:uid="{00000000-0005-0000-0000-000007260000}"/>
    <cellStyle name="Normal 31 7 2 6 2" xfId="9532" xr:uid="{00000000-0005-0000-0000-000008260000}"/>
    <cellStyle name="Normal 31 7 2 7" xfId="8289" xr:uid="{00000000-0005-0000-0000-000009260000}"/>
    <cellStyle name="Normal 31 7 3" xfId="618" xr:uid="{00000000-0005-0000-0000-00000A260000}"/>
    <cellStyle name="Normal 31 7 3 2" xfId="968" xr:uid="{00000000-0005-0000-0000-00000B260000}"/>
    <cellStyle name="Normal 31 7 3 2 2" xfId="1582" xr:uid="{00000000-0005-0000-0000-00000C260000}"/>
    <cellStyle name="Normal 31 7 3 2 2 2" xfId="2808" xr:uid="{00000000-0005-0000-0000-00000D260000}"/>
    <cellStyle name="Normal 31 7 3 2 2 2 2" xfId="6668" xr:uid="{00000000-0005-0000-0000-00000E260000}"/>
    <cellStyle name="Normal 31 7 3 2 2 2 3" xfId="11620" xr:uid="{00000000-0005-0000-0000-00000F260000}"/>
    <cellStyle name="Normal 31 7 3 2 2 3" xfId="4036" xr:uid="{00000000-0005-0000-0000-000010260000}"/>
    <cellStyle name="Normal 31 7 3 2 2 3 2" xfId="7892" xr:uid="{00000000-0005-0000-0000-000011260000}"/>
    <cellStyle name="Normal 31 7 3 2 2 3 3" xfId="10378" xr:uid="{00000000-0005-0000-0000-000012260000}"/>
    <cellStyle name="Normal 31 7 3 2 2 4" xfId="5444" xr:uid="{00000000-0005-0000-0000-000013260000}"/>
    <cellStyle name="Normal 31 7 3 2 2 5" xfId="9136" xr:uid="{00000000-0005-0000-0000-000014260000}"/>
    <cellStyle name="Normal 31 7 3 2 3" xfId="2196" xr:uid="{00000000-0005-0000-0000-000015260000}"/>
    <cellStyle name="Normal 31 7 3 2 3 2" xfId="6056" xr:uid="{00000000-0005-0000-0000-000016260000}"/>
    <cellStyle name="Normal 31 7 3 2 3 3" xfId="10972" xr:uid="{00000000-0005-0000-0000-000017260000}"/>
    <cellStyle name="Normal 31 7 3 2 4" xfId="3424" xr:uid="{00000000-0005-0000-0000-000018260000}"/>
    <cellStyle name="Normal 31 7 3 2 4 2" xfId="7280" xr:uid="{00000000-0005-0000-0000-000019260000}"/>
    <cellStyle name="Normal 31 7 3 2 4 3" xfId="9730" xr:uid="{00000000-0005-0000-0000-00001A260000}"/>
    <cellStyle name="Normal 31 7 3 2 5" xfId="4832" xr:uid="{00000000-0005-0000-0000-00001B260000}"/>
    <cellStyle name="Normal 31 7 3 2 6" xfId="8487" xr:uid="{00000000-0005-0000-0000-00001C260000}"/>
    <cellStyle name="Normal 31 7 3 3" xfId="1276" xr:uid="{00000000-0005-0000-0000-00001D260000}"/>
    <cellStyle name="Normal 31 7 3 3 2" xfId="2502" xr:uid="{00000000-0005-0000-0000-00001E260000}"/>
    <cellStyle name="Normal 31 7 3 3 2 2" xfId="6362" xr:uid="{00000000-0005-0000-0000-00001F260000}"/>
    <cellStyle name="Normal 31 7 3 3 2 3" xfId="11314" xr:uid="{00000000-0005-0000-0000-000020260000}"/>
    <cellStyle name="Normal 31 7 3 3 3" xfId="3730" xr:uid="{00000000-0005-0000-0000-000021260000}"/>
    <cellStyle name="Normal 31 7 3 3 3 2" xfId="7586" xr:uid="{00000000-0005-0000-0000-000022260000}"/>
    <cellStyle name="Normal 31 7 3 3 3 3" xfId="10072" xr:uid="{00000000-0005-0000-0000-000023260000}"/>
    <cellStyle name="Normal 31 7 3 3 4" xfId="5138" xr:uid="{00000000-0005-0000-0000-000024260000}"/>
    <cellStyle name="Normal 31 7 3 3 5" xfId="8830" xr:uid="{00000000-0005-0000-0000-000025260000}"/>
    <cellStyle name="Normal 31 7 3 4" xfId="1890" xr:uid="{00000000-0005-0000-0000-000026260000}"/>
    <cellStyle name="Normal 31 7 3 4 2" xfId="5750" xr:uid="{00000000-0005-0000-0000-000027260000}"/>
    <cellStyle name="Normal 31 7 3 4 3" xfId="10684" xr:uid="{00000000-0005-0000-0000-000028260000}"/>
    <cellStyle name="Normal 31 7 3 5" xfId="3117" xr:uid="{00000000-0005-0000-0000-000029260000}"/>
    <cellStyle name="Normal 31 7 3 5 2" xfId="6974" xr:uid="{00000000-0005-0000-0000-00002A260000}"/>
    <cellStyle name="Normal 31 7 3 5 3" xfId="11890" xr:uid="{00000000-0005-0000-0000-00002B260000}"/>
    <cellStyle name="Normal 31 7 3 6" xfId="4526" xr:uid="{00000000-0005-0000-0000-00002C260000}"/>
    <cellStyle name="Normal 31 7 3 6 2" xfId="9442" xr:uid="{00000000-0005-0000-0000-00002D260000}"/>
    <cellStyle name="Normal 31 7 3 7" xfId="8199" xr:uid="{00000000-0005-0000-0000-00002E260000}"/>
    <cellStyle name="Normal 31 7 4" xfId="856" xr:uid="{00000000-0005-0000-0000-00002F260000}"/>
    <cellStyle name="Normal 31 7 4 2" xfId="1492" xr:uid="{00000000-0005-0000-0000-000030260000}"/>
    <cellStyle name="Normal 31 7 4 2 2" xfId="2718" xr:uid="{00000000-0005-0000-0000-000031260000}"/>
    <cellStyle name="Normal 31 7 4 2 2 2" xfId="6578" xr:uid="{00000000-0005-0000-0000-000032260000}"/>
    <cellStyle name="Normal 31 7 4 2 2 3" xfId="11530" xr:uid="{00000000-0005-0000-0000-000033260000}"/>
    <cellStyle name="Normal 31 7 4 2 3" xfId="3946" xr:uid="{00000000-0005-0000-0000-000034260000}"/>
    <cellStyle name="Normal 31 7 4 2 3 2" xfId="7802" xr:uid="{00000000-0005-0000-0000-000035260000}"/>
    <cellStyle name="Normal 31 7 4 2 3 3" xfId="10288" xr:uid="{00000000-0005-0000-0000-000036260000}"/>
    <cellStyle name="Normal 31 7 4 2 4" xfId="5354" xr:uid="{00000000-0005-0000-0000-000037260000}"/>
    <cellStyle name="Normal 31 7 4 2 5" xfId="9046" xr:uid="{00000000-0005-0000-0000-000038260000}"/>
    <cellStyle name="Normal 31 7 4 3" xfId="2106" xr:uid="{00000000-0005-0000-0000-000039260000}"/>
    <cellStyle name="Normal 31 7 4 3 2" xfId="5966" xr:uid="{00000000-0005-0000-0000-00003A260000}"/>
    <cellStyle name="Normal 31 7 4 3 3" xfId="10882" xr:uid="{00000000-0005-0000-0000-00003B260000}"/>
    <cellStyle name="Normal 31 7 4 4" xfId="3334" xr:uid="{00000000-0005-0000-0000-00003C260000}"/>
    <cellStyle name="Normal 31 7 4 4 2" xfId="7190" xr:uid="{00000000-0005-0000-0000-00003D260000}"/>
    <cellStyle name="Normal 31 7 4 4 3" xfId="9640" xr:uid="{00000000-0005-0000-0000-00003E260000}"/>
    <cellStyle name="Normal 31 7 4 5" xfId="4742" xr:uid="{00000000-0005-0000-0000-00003F260000}"/>
    <cellStyle name="Normal 31 7 4 6" xfId="8397" xr:uid="{00000000-0005-0000-0000-000040260000}"/>
    <cellStyle name="Normal 31 7 5" xfId="1186" xr:uid="{00000000-0005-0000-0000-000041260000}"/>
    <cellStyle name="Normal 31 7 5 2" xfId="2412" xr:uid="{00000000-0005-0000-0000-000042260000}"/>
    <cellStyle name="Normal 31 7 5 2 2" xfId="6272" xr:uid="{00000000-0005-0000-0000-000043260000}"/>
    <cellStyle name="Normal 31 7 5 2 3" xfId="11224" xr:uid="{00000000-0005-0000-0000-000044260000}"/>
    <cellStyle name="Normal 31 7 5 3" xfId="3640" xr:uid="{00000000-0005-0000-0000-000045260000}"/>
    <cellStyle name="Normal 31 7 5 3 2" xfId="7496" xr:uid="{00000000-0005-0000-0000-000046260000}"/>
    <cellStyle name="Normal 31 7 5 3 3" xfId="9982" xr:uid="{00000000-0005-0000-0000-000047260000}"/>
    <cellStyle name="Normal 31 7 5 4" xfId="5048" xr:uid="{00000000-0005-0000-0000-000048260000}"/>
    <cellStyle name="Normal 31 7 5 5" xfId="8740" xr:uid="{00000000-0005-0000-0000-000049260000}"/>
    <cellStyle name="Normal 31 7 6" xfId="1800" xr:uid="{00000000-0005-0000-0000-00004A260000}"/>
    <cellStyle name="Normal 31 7 6 2" xfId="5660" xr:uid="{00000000-0005-0000-0000-00004B260000}"/>
    <cellStyle name="Normal 31 7 6 3" xfId="10594" xr:uid="{00000000-0005-0000-0000-00004C260000}"/>
    <cellStyle name="Normal 31 7 7" xfId="3027" xr:uid="{00000000-0005-0000-0000-00004D260000}"/>
    <cellStyle name="Normal 31 7 7 2" xfId="6884" xr:uid="{00000000-0005-0000-0000-00004E260000}"/>
    <cellStyle name="Normal 31 7 7 3" xfId="11800" xr:uid="{00000000-0005-0000-0000-00004F260000}"/>
    <cellStyle name="Normal 31 7 8" xfId="4436" xr:uid="{00000000-0005-0000-0000-000050260000}"/>
    <cellStyle name="Normal 31 7 8 2" xfId="9352" xr:uid="{00000000-0005-0000-0000-000051260000}"/>
    <cellStyle name="Normal 31 7 9" xfId="8109" xr:uid="{00000000-0005-0000-0000-000052260000}"/>
    <cellStyle name="Normal 31 8" xfId="690" xr:uid="{00000000-0005-0000-0000-000053260000}"/>
    <cellStyle name="Normal 31 8 2" xfId="1040" xr:uid="{00000000-0005-0000-0000-000054260000}"/>
    <cellStyle name="Normal 31 8 2 2" xfId="1654" xr:uid="{00000000-0005-0000-0000-000055260000}"/>
    <cellStyle name="Normal 31 8 2 2 2" xfId="2880" xr:uid="{00000000-0005-0000-0000-000056260000}"/>
    <cellStyle name="Normal 31 8 2 2 2 2" xfId="6740" xr:uid="{00000000-0005-0000-0000-000057260000}"/>
    <cellStyle name="Normal 31 8 2 2 2 3" xfId="11692" xr:uid="{00000000-0005-0000-0000-000058260000}"/>
    <cellStyle name="Normal 31 8 2 2 3" xfId="4108" xr:uid="{00000000-0005-0000-0000-000059260000}"/>
    <cellStyle name="Normal 31 8 2 2 3 2" xfId="7964" xr:uid="{00000000-0005-0000-0000-00005A260000}"/>
    <cellStyle name="Normal 31 8 2 2 3 3" xfId="10450" xr:uid="{00000000-0005-0000-0000-00005B260000}"/>
    <cellStyle name="Normal 31 8 2 2 4" xfId="5516" xr:uid="{00000000-0005-0000-0000-00005C260000}"/>
    <cellStyle name="Normal 31 8 2 2 5" xfId="9208" xr:uid="{00000000-0005-0000-0000-00005D260000}"/>
    <cellStyle name="Normal 31 8 2 3" xfId="2268" xr:uid="{00000000-0005-0000-0000-00005E260000}"/>
    <cellStyle name="Normal 31 8 2 3 2" xfId="6128" xr:uid="{00000000-0005-0000-0000-00005F260000}"/>
    <cellStyle name="Normal 31 8 2 3 3" xfId="11044" xr:uid="{00000000-0005-0000-0000-000060260000}"/>
    <cellStyle name="Normal 31 8 2 4" xfId="3496" xr:uid="{00000000-0005-0000-0000-000061260000}"/>
    <cellStyle name="Normal 31 8 2 4 2" xfId="7352" xr:uid="{00000000-0005-0000-0000-000062260000}"/>
    <cellStyle name="Normal 31 8 2 4 3" xfId="9802" xr:uid="{00000000-0005-0000-0000-000063260000}"/>
    <cellStyle name="Normal 31 8 2 5" xfId="4904" xr:uid="{00000000-0005-0000-0000-000064260000}"/>
    <cellStyle name="Normal 31 8 2 6" xfId="8559" xr:uid="{00000000-0005-0000-0000-000065260000}"/>
    <cellStyle name="Normal 31 8 3" xfId="1348" xr:uid="{00000000-0005-0000-0000-000066260000}"/>
    <cellStyle name="Normal 31 8 3 2" xfId="2574" xr:uid="{00000000-0005-0000-0000-000067260000}"/>
    <cellStyle name="Normal 31 8 3 2 2" xfId="6434" xr:uid="{00000000-0005-0000-0000-000068260000}"/>
    <cellStyle name="Normal 31 8 3 2 3" xfId="11386" xr:uid="{00000000-0005-0000-0000-000069260000}"/>
    <cellStyle name="Normal 31 8 3 3" xfId="3802" xr:uid="{00000000-0005-0000-0000-00006A260000}"/>
    <cellStyle name="Normal 31 8 3 3 2" xfId="7658" xr:uid="{00000000-0005-0000-0000-00006B260000}"/>
    <cellStyle name="Normal 31 8 3 3 3" xfId="10144" xr:uid="{00000000-0005-0000-0000-00006C260000}"/>
    <cellStyle name="Normal 31 8 3 4" xfId="5210" xr:uid="{00000000-0005-0000-0000-00006D260000}"/>
    <cellStyle name="Normal 31 8 3 5" xfId="8902" xr:uid="{00000000-0005-0000-0000-00006E260000}"/>
    <cellStyle name="Normal 31 8 4" xfId="1962" xr:uid="{00000000-0005-0000-0000-00006F260000}"/>
    <cellStyle name="Normal 31 8 4 2" xfId="5822" xr:uid="{00000000-0005-0000-0000-000070260000}"/>
    <cellStyle name="Normal 31 8 4 3" xfId="10756" xr:uid="{00000000-0005-0000-0000-000071260000}"/>
    <cellStyle name="Normal 31 8 5" xfId="3189" xr:uid="{00000000-0005-0000-0000-000072260000}"/>
    <cellStyle name="Normal 31 8 5 2" xfId="7046" xr:uid="{00000000-0005-0000-0000-000073260000}"/>
    <cellStyle name="Normal 31 8 5 3" xfId="11962" xr:uid="{00000000-0005-0000-0000-000074260000}"/>
    <cellStyle name="Normal 31 8 6" xfId="4598" xr:uid="{00000000-0005-0000-0000-000075260000}"/>
    <cellStyle name="Normal 31 8 6 2" xfId="9514" xr:uid="{00000000-0005-0000-0000-000076260000}"/>
    <cellStyle name="Normal 31 8 7" xfId="8271" xr:uid="{00000000-0005-0000-0000-000077260000}"/>
    <cellStyle name="Normal 31 9" xfId="600" xr:uid="{00000000-0005-0000-0000-000078260000}"/>
    <cellStyle name="Normal 31 9 2" xfId="950" xr:uid="{00000000-0005-0000-0000-000079260000}"/>
    <cellStyle name="Normal 31 9 2 2" xfId="1564" xr:uid="{00000000-0005-0000-0000-00007A260000}"/>
    <cellStyle name="Normal 31 9 2 2 2" xfId="2790" xr:uid="{00000000-0005-0000-0000-00007B260000}"/>
    <cellStyle name="Normal 31 9 2 2 2 2" xfId="6650" xr:uid="{00000000-0005-0000-0000-00007C260000}"/>
    <cellStyle name="Normal 31 9 2 2 2 3" xfId="11602" xr:uid="{00000000-0005-0000-0000-00007D260000}"/>
    <cellStyle name="Normal 31 9 2 2 3" xfId="4018" xr:uid="{00000000-0005-0000-0000-00007E260000}"/>
    <cellStyle name="Normal 31 9 2 2 3 2" xfId="7874" xr:uid="{00000000-0005-0000-0000-00007F260000}"/>
    <cellStyle name="Normal 31 9 2 2 3 3" xfId="10360" xr:uid="{00000000-0005-0000-0000-000080260000}"/>
    <cellStyle name="Normal 31 9 2 2 4" xfId="5426" xr:uid="{00000000-0005-0000-0000-000081260000}"/>
    <cellStyle name="Normal 31 9 2 2 5" xfId="9118" xr:uid="{00000000-0005-0000-0000-000082260000}"/>
    <cellStyle name="Normal 31 9 2 3" xfId="2178" xr:uid="{00000000-0005-0000-0000-000083260000}"/>
    <cellStyle name="Normal 31 9 2 3 2" xfId="6038" xr:uid="{00000000-0005-0000-0000-000084260000}"/>
    <cellStyle name="Normal 31 9 2 3 3" xfId="10954" xr:uid="{00000000-0005-0000-0000-000085260000}"/>
    <cellStyle name="Normal 31 9 2 4" xfId="3406" xr:uid="{00000000-0005-0000-0000-000086260000}"/>
    <cellStyle name="Normal 31 9 2 4 2" xfId="7262" xr:uid="{00000000-0005-0000-0000-000087260000}"/>
    <cellStyle name="Normal 31 9 2 4 3" xfId="9712" xr:uid="{00000000-0005-0000-0000-000088260000}"/>
    <cellStyle name="Normal 31 9 2 5" xfId="4814" xr:uid="{00000000-0005-0000-0000-000089260000}"/>
    <cellStyle name="Normal 31 9 2 6" xfId="8469" xr:uid="{00000000-0005-0000-0000-00008A260000}"/>
    <cellStyle name="Normal 31 9 3" xfId="1258" xr:uid="{00000000-0005-0000-0000-00008B260000}"/>
    <cellStyle name="Normal 31 9 3 2" xfId="2484" xr:uid="{00000000-0005-0000-0000-00008C260000}"/>
    <cellStyle name="Normal 31 9 3 2 2" xfId="6344" xr:uid="{00000000-0005-0000-0000-00008D260000}"/>
    <cellStyle name="Normal 31 9 3 2 3" xfId="11296" xr:uid="{00000000-0005-0000-0000-00008E260000}"/>
    <cellStyle name="Normal 31 9 3 3" xfId="3712" xr:uid="{00000000-0005-0000-0000-00008F260000}"/>
    <cellStyle name="Normal 31 9 3 3 2" xfId="7568" xr:uid="{00000000-0005-0000-0000-000090260000}"/>
    <cellStyle name="Normal 31 9 3 3 3" xfId="10054" xr:uid="{00000000-0005-0000-0000-000091260000}"/>
    <cellStyle name="Normal 31 9 3 4" xfId="5120" xr:uid="{00000000-0005-0000-0000-000092260000}"/>
    <cellStyle name="Normal 31 9 3 5" xfId="8812" xr:uid="{00000000-0005-0000-0000-000093260000}"/>
    <cellStyle name="Normal 31 9 4" xfId="1872" xr:uid="{00000000-0005-0000-0000-000094260000}"/>
    <cellStyle name="Normal 31 9 4 2" xfId="5732" xr:uid="{00000000-0005-0000-0000-000095260000}"/>
    <cellStyle name="Normal 31 9 4 3" xfId="10666" xr:uid="{00000000-0005-0000-0000-000096260000}"/>
    <cellStyle name="Normal 31 9 5" xfId="3099" xr:uid="{00000000-0005-0000-0000-000097260000}"/>
    <cellStyle name="Normal 31 9 5 2" xfId="6956" xr:uid="{00000000-0005-0000-0000-000098260000}"/>
    <cellStyle name="Normal 31 9 5 3" xfId="11872" xr:uid="{00000000-0005-0000-0000-000099260000}"/>
    <cellStyle name="Normal 31 9 6" xfId="4508" xr:uid="{00000000-0005-0000-0000-00009A260000}"/>
    <cellStyle name="Normal 31 9 6 2" xfId="9424" xr:uid="{00000000-0005-0000-0000-00009B260000}"/>
    <cellStyle name="Normal 31 9 7" xfId="8181" xr:uid="{00000000-0005-0000-0000-00009C260000}"/>
    <cellStyle name="Normal 32" xfId="239" xr:uid="{00000000-0005-0000-0000-00009D260000}"/>
    <cellStyle name="Normal 32 2" xfId="240" xr:uid="{00000000-0005-0000-0000-00009E260000}"/>
    <cellStyle name="Normal 32 3" xfId="455" xr:uid="{00000000-0005-0000-0000-00009F260000}"/>
    <cellStyle name="Normal 33" xfId="241" xr:uid="{00000000-0005-0000-0000-0000A0260000}"/>
    <cellStyle name="Normal 33 2" xfId="242" xr:uid="{00000000-0005-0000-0000-0000A1260000}"/>
    <cellStyle name="Normal 34" xfId="243" xr:uid="{00000000-0005-0000-0000-0000A2260000}"/>
    <cellStyle name="Normal 34 2" xfId="244" xr:uid="{00000000-0005-0000-0000-0000A3260000}"/>
    <cellStyle name="Normal 35" xfId="245" xr:uid="{00000000-0005-0000-0000-0000A4260000}"/>
    <cellStyle name="Normal 35 2" xfId="246" xr:uid="{00000000-0005-0000-0000-0000A5260000}"/>
    <cellStyle name="Normal 35 2 2" xfId="4289" xr:uid="{00000000-0005-0000-0000-0000A6260000}"/>
    <cellStyle name="Normal 35 3" xfId="4288" xr:uid="{00000000-0005-0000-0000-0000A7260000}"/>
    <cellStyle name="Normal 36" xfId="247" xr:uid="{00000000-0005-0000-0000-0000A8260000}"/>
    <cellStyle name="Normal 36 2" xfId="248" xr:uid="{00000000-0005-0000-0000-0000A9260000}"/>
    <cellStyle name="Normal 37" xfId="249" xr:uid="{00000000-0005-0000-0000-0000AA260000}"/>
    <cellStyle name="Normal 37 2" xfId="4290" xr:uid="{00000000-0005-0000-0000-0000AB260000}"/>
    <cellStyle name="Normal 38" xfId="250" xr:uid="{00000000-0005-0000-0000-0000AC260000}"/>
    <cellStyle name="Normal 38 2" xfId="251" xr:uid="{00000000-0005-0000-0000-0000AD260000}"/>
    <cellStyle name="Normal 38 2 2" xfId="252" xr:uid="{00000000-0005-0000-0000-0000AE260000}"/>
    <cellStyle name="Normal 38 3" xfId="4291" xr:uid="{00000000-0005-0000-0000-0000AF260000}"/>
    <cellStyle name="Normal 39" xfId="253" xr:uid="{00000000-0005-0000-0000-0000B0260000}"/>
    <cellStyle name="Normal 4" xfId="254" xr:uid="{00000000-0005-0000-0000-0000B1260000}"/>
    <cellStyle name="Normal 4 2" xfId="255" xr:uid="{00000000-0005-0000-0000-0000B2260000}"/>
    <cellStyle name="Normal 4 2 2" xfId="256" xr:uid="{00000000-0005-0000-0000-0000B3260000}"/>
    <cellStyle name="Normal 4 2 2 2" xfId="900" xr:uid="{00000000-0005-0000-0000-0000B4260000}"/>
    <cellStyle name="Normal 4 2 3" xfId="257" xr:uid="{00000000-0005-0000-0000-0000B5260000}"/>
    <cellStyle name="Normal 4 2 4" xfId="550" xr:uid="{00000000-0005-0000-0000-0000B6260000}"/>
    <cellStyle name="Normal 4 3" xfId="806" xr:uid="{00000000-0005-0000-0000-0000B7260000}"/>
    <cellStyle name="Normal 4 4" xfId="456" xr:uid="{00000000-0005-0000-0000-0000B8260000}"/>
    <cellStyle name="Normal 40" xfId="258" xr:uid="{00000000-0005-0000-0000-0000B9260000}"/>
    <cellStyle name="Normal 40 2" xfId="4292" xr:uid="{00000000-0005-0000-0000-0000BA260000}"/>
    <cellStyle name="Normal 41" xfId="259" xr:uid="{00000000-0005-0000-0000-0000BB260000}"/>
    <cellStyle name="Normal 41 2" xfId="4293" xr:uid="{00000000-0005-0000-0000-0000BC260000}"/>
    <cellStyle name="Normal 42" xfId="260" xr:uid="{00000000-0005-0000-0000-0000BD260000}"/>
    <cellStyle name="Normal 42 2" xfId="4294" xr:uid="{00000000-0005-0000-0000-0000BE260000}"/>
    <cellStyle name="Normal 43" xfId="261" xr:uid="{00000000-0005-0000-0000-0000BF260000}"/>
    <cellStyle name="Normal 44" xfId="262" xr:uid="{00000000-0005-0000-0000-0000C0260000}"/>
    <cellStyle name="Normal 45" xfId="263" xr:uid="{00000000-0005-0000-0000-0000C1260000}"/>
    <cellStyle name="Normal 45 2" xfId="264" xr:uid="{00000000-0005-0000-0000-0000C2260000}"/>
    <cellStyle name="Normal 46" xfId="265" xr:uid="{00000000-0005-0000-0000-0000C3260000}"/>
    <cellStyle name="Normal 47" xfId="266" xr:uid="{00000000-0005-0000-0000-0000C4260000}"/>
    <cellStyle name="Normal 48" xfId="267" xr:uid="{00000000-0005-0000-0000-0000C5260000}"/>
    <cellStyle name="Normal 49" xfId="268" xr:uid="{00000000-0005-0000-0000-0000C6260000}"/>
    <cellStyle name="Normal 5" xfId="269" xr:uid="{00000000-0005-0000-0000-0000C7260000}"/>
    <cellStyle name="Normal 5 10" xfId="1140" xr:uid="{00000000-0005-0000-0000-0000C8260000}"/>
    <cellStyle name="Normal 5 10 2" xfId="2366" xr:uid="{00000000-0005-0000-0000-0000C9260000}"/>
    <cellStyle name="Normal 5 10 2 2" xfId="6226" xr:uid="{00000000-0005-0000-0000-0000CA260000}"/>
    <cellStyle name="Normal 5 10 2 3" xfId="11178" xr:uid="{00000000-0005-0000-0000-0000CB260000}"/>
    <cellStyle name="Normal 5 10 3" xfId="3594" xr:uid="{00000000-0005-0000-0000-0000CC260000}"/>
    <cellStyle name="Normal 5 10 3 2" xfId="7450" xr:uid="{00000000-0005-0000-0000-0000CD260000}"/>
    <cellStyle name="Normal 5 10 3 3" xfId="9936" xr:uid="{00000000-0005-0000-0000-0000CE260000}"/>
    <cellStyle name="Normal 5 10 4" xfId="5002" xr:uid="{00000000-0005-0000-0000-0000CF260000}"/>
    <cellStyle name="Normal 5 10 5" xfId="8694" xr:uid="{00000000-0005-0000-0000-0000D0260000}"/>
    <cellStyle name="Normal 5 11" xfId="457" xr:uid="{00000000-0005-0000-0000-0000D1260000}"/>
    <cellStyle name="Normal 5 11 2" xfId="4390" xr:uid="{00000000-0005-0000-0000-0000D2260000}"/>
    <cellStyle name="Normal 5 11 3" xfId="10548" xr:uid="{00000000-0005-0000-0000-0000D3260000}"/>
    <cellStyle name="Normal 5 12" xfId="1754" xr:uid="{00000000-0005-0000-0000-0000D4260000}"/>
    <cellStyle name="Normal 5 12 2" xfId="5614" xr:uid="{00000000-0005-0000-0000-0000D5260000}"/>
    <cellStyle name="Normal 5 12 3" xfId="11790" xr:uid="{00000000-0005-0000-0000-0000D6260000}"/>
    <cellStyle name="Normal 5 13" xfId="2981" xr:uid="{00000000-0005-0000-0000-0000D7260000}"/>
    <cellStyle name="Normal 5 13 2" xfId="6838" xr:uid="{00000000-0005-0000-0000-0000D8260000}"/>
    <cellStyle name="Normal 5 13 3" xfId="9306" xr:uid="{00000000-0005-0000-0000-0000D9260000}"/>
    <cellStyle name="Normal 5 14" xfId="8063" xr:uid="{00000000-0005-0000-0000-0000DA260000}"/>
    <cellStyle name="Normal 5 2" xfId="270" xr:uid="{00000000-0005-0000-0000-0000DB260000}"/>
    <cellStyle name="Normal 5 2 10" xfId="458" xr:uid="{00000000-0005-0000-0000-0000DC260000}"/>
    <cellStyle name="Normal 5 2 10 2" xfId="4391" xr:uid="{00000000-0005-0000-0000-0000DD260000}"/>
    <cellStyle name="Normal 5 2 10 3" xfId="10549" xr:uid="{00000000-0005-0000-0000-0000DE260000}"/>
    <cellStyle name="Normal 5 2 11" xfId="1755" xr:uid="{00000000-0005-0000-0000-0000DF260000}"/>
    <cellStyle name="Normal 5 2 11 2" xfId="5615" xr:uid="{00000000-0005-0000-0000-0000E0260000}"/>
    <cellStyle name="Normal 5 2 11 3" xfId="11791" xr:uid="{00000000-0005-0000-0000-0000E1260000}"/>
    <cellStyle name="Normal 5 2 12" xfId="2982" xr:uid="{00000000-0005-0000-0000-0000E2260000}"/>
    <cellStyle name="Normal 5 2 12 2" xfId="6839" xr:uid="{00000000-0005-0000-0000-0000E3260000}"/>
    <cellStyle name="Normal 5 2 12 3" xfId="9307" xr:uid="{00000000-0005-0000-0000-0000E4260000}"/>
    <cellStyle name="Normal 5 2 13" xfId="4295" xr:uid="{00000000-0005-0000-0000-0000E5260000}"/>
    <cellStyle name="Normal 5 2 14" xfId="8064" xr:uid="{00000000-0005-0000-0000-0000E6260000}"/>
    <cellStyle name="Normal 5 2 2" xfId="271" xr:uid="{00000000-0005-0000-0000-0000E7260000}"/>
    <cellStyle name="Normal 5 2 2 10" xfId="3000" xr:uid="{00000000-0005-0000-0000-0000E8260000}"/>
    <cellStyle name="Normal 5 2 2 10 2" xfId="6857" xr:uid="{00000000-0005-0000-0000-0000E9260000}"/>
    <cellStyle name="Normal 5 2 2 10 3" xfId="9325" xr:uid="{00000000-0005-0000-0000-0000EA260000}"/>
    <cellStyle name="Normal 5 2 2 11" xfId="4296" xr:uid="{00000000-0005-0000-0000-0000EB260000}"/>
    <cellStyle name="Normal 5 2 2 12" xfId="8082" xr:uid="{00000000-0005-0000-0000-0000EC260000}"/>
    <cellStyle name="Normal 5 2 2 2" xfId="590" xr:uid="{00000000-0005-0000-0000-0000ED260000}"/>
    <cellStyle name="Normal 5 2 2 2 2" xfId="771" xr:uid="{00000000-0005-0000-0000-0000EE260000}"/>
    <cellStyle name="Normal 5 2 2 2 2 2" xfId="1121" xr:uid="{00000000-0005-0000-0000-0000EF260000}"/>
    <cellStyle name="Normal 5 2 2 2 2 2 2" xfId="1735" xr:uid="{00000000-0005-0000-0000-0000F0260000}"/>
    <cellStyle name="Normal 5 2 2 2 2 2 2 2" xfId="2961" xr:uid="{00000000-0005-0000-0000-0000F1260000}"/>
    <cellStyle name="Normal 5 2 2 2 2 2 2 2 2" xfId="6821" xr:uid="{00000000-0005-0000-0000-0000F2260000}"/>
    <cellStyle name="Normal 5 2 2 2 2 2 2 2 3" xfId="11773" xr:uid="{00000000-0005-0000-0000-0000F3260000}"/>
    <cellStyle name="Normal 5 2 2 2 2 2 2 3" xfId="4189" xr:uid="{00000000-0005-0000-0000-0000F4260000}"/>
    <cellStyle name="Normal 5 2 2 2 2 2 2 3 2" xfId="8045" xr:uid="{00000000-0005-0000-0000-0000F5260000}"/>
    <cellStyle name="Normal 5 2 2 2 2 2 2 3 3" xfId="10531" xr:uid="{00000000-0005-0000-0000-0000F6260000}"/>
    <cellStyle name="Normal 5 2 2 2 2 2 2 4" xfId="5597" xr:uid="{00000000-0005-0000-0000-0000F7260000}"/>
    <cellStyle name="Normal 5 2 2 2 2 2 2 5" xfId="9289" xr:uid="{00000000-0005-0000-0000-0000F8260000}"/>
    <cellStyle name="Normal 5 2 2 2 2 2 3" xfId="2349" xr:uid="{00000000-0005-0000-0000-0000F9260000}"/>
    <cellStyle name="Normal 5 2 2 2 2 2 3 2" xfId="6209" xr:uid="{00000000-0005-0000-0000-0000FA260000}"/>
    <cellStyle name="Normal 5 2 2 2 2 2 3 3" xfId="11125" xr:uid="{00000000-0005-0000-0000-0000FB260000}"/>
    <cellStyle name="Normal 5 2 2 2 2 2 4" xfId="3577" xr:uid="{00000000-0005-0000-0000-0000FC260000}"/>
    <cellStyle name="Normal 5 2 2 2 2 2 4 2" xfId="7433" xr:uid="{00000000-0005-0000-0000-0000FD260000}"/>
    <cellStyle name="Normal 5 2 2 2 2 2 4 3" xfId="9883" xr:uid="{00000000-0005-0000-0000-0000FE260000}"/>
    <cellStyle name="Normal 5 2 2 2 2 2 5" xfId="4985" xr:uid="{00000000-0005-0000-0000-0000FF260000}"/>
    <cellStyle name="Normal 5 2 2 2 2 2 6" xfId="8640" xr:uid="{00000000-0005-0000-0000-000000270000}"/>
    <cellStyle name="Normal 5 2 2 2 2 3" xfId="1429" xr:uid="{00000000-0005-0000-0000-000001270000}"/>
    <cellStyle name="Normal 5 2 2 2 2 3 2" xfId="2655" xr:uid="{00000000-0005-0000-0000-000002270000}"/>
    <cellStyle name="Normal 5 2 2 2 2 3 2 2" xfId="6515" xr:uid="{00000000-0005-0000-0000-000003270000}"/>
    <cellStyle name="Normal 5 2 2 2 2 3 2 3" xfId="11467" xr:uid="{00000000-0005-0000-0000-000004270000}"/>
    <cellStyle name="Normal 5 2 2 2 2 3 3" xfId="3883" xr:uid="{00000000-0005-0000-0000-000005270000}"/>
    <cellStyle name="Normal 5 2 2 2 2 3 3 2" xfId="7739" xr:uid="{00000000-0005-0000-0000-000006270000}"/>
    <cellStyle name="Normal 5 2 2 2 2 3 3 3" xfId="10225" xr:uid="{00000000-0005-0000-0000-000007270000}"/>
    <cellStyle name="Normal 5 2 2 2 2 3 4" xfId="5291" xr:uid="{00000000-0005-0000-0000-000008270000}"/>
    <cellStyle name="Normal 5 2 2 2 2 3 5" xfId="8983" xr:uid="{00000000-0005-0000-0000-000009270000}"/>
    <cellStyle name="Normal 5 2 2 2 2 4" xfId="2043" xr:uid="{00000000-0005-0000-0000-00000A270000}"/>
    <cellStyle name="Normal 5 2 2 2 2 4 2" xfId="5903" xr:uid="{00000000-0005-0000-0000-00000B270000}"/>
    <cellStyle name="Normal 5 2 2 2 2 4 3" xfId="10837" xr:uid="{00000000-0005-0000-0000-00000C270000}"/>
    <cellStyle name="Normal 5 2 2 2 2 5" xfId="3270" xr:uid="{00000000-0005-0000-0000-00000D270000}"/>
    <cellStyle name="Normal 5 2 2 2 2 5 2" xfId="7127" xr:uid="{00000000-0005-0000-0000-00000E270000}"/>
    <cellStyle name="Normal 5 2 2 2 2 5 3" xfId="12043" xr:uid="{00000000-0005-0000-0000-00000F270000}"/>
    <cellStyle name="Normal 5 2 2 2 2 6" xfId="4679" xr:uid="{00000000-0005-0000-0000-000010270000}"/>
    <cellStyle name="Normal 5 2 2 2 2 6 2" xfId="9595" xr:uid="{00000000-0005-0000-0000-000011270000}"/>
    <cellStyle name="Normal 5 2 2 2 2 7" xfId="8352" xr:uid="{00000000-0005-0000-0000-000012270000}"/>
    <cellStyle name="Normal 5 2 2 2 3" xfId="681" xr:uid="{00000000-0005-0000-0000-000013270000}"/>
    <cellStyle name="Normal 5 2 2 2 3 2" xfId="1031" xr:uid="{00000000-0005-0000-0000-000014270000}"/>
    <cellStyle name="Normal 5 2 2 2 3 2 2" xfId="1645" xr:uid="{00000000-0005-0000-0000-000015270000}"/>
    <cellStyle name="Normal 5 2 2 2 3 2 2 2" xfId="2871" xr:uid="{00000000-0005-0000-0000-000016270000}"/>
    <cellStyle name="Normal 5 2 2 2 3 2 2 2 2" xfId="6731" xr:uid="{00000000-0005-0000-0000-000017270000}"/>
    <cellStyle name="Normal 5 2 2 2 3 2 2 2 3" xfId="11683" xr:uid="{00000000-0005-0000-0000-000018270000}"/>
    <cellStyle name="Normal 5 2 2 2 3 2 2 3" xfId="4099" xr:uid="{00000000-0005-0000-0000-000019270000}"/>
    <cellStyle name="Normal 5 2 2 2 3 2 2 3 2" xfId="7955" xr:uid="{00000000-0005-0000-0000-00001A270000}"/>
    <cellStyle name="Normal 5 2 2 2 3 2 2 3 3" xfId="10441" xr:uid="{00000000-0005-0000-0000-00001B270000}"/>
    <cellStyle name="Normal 5 2 2 2 3 2 2 4" xfId="5507" xr:uid="{00000000-0005-0000-0000-00001C270000}"/>
    <cellStyle name="Normal 5 2 2 2 3 2 2 5" xfId="9199" xr:uid="{00000000-0005-0000-0000-00001D270000}"/>
    <cellStyle name="Normal 5 2 2 2 3 2 3" xfId="2259" xr:uid="{00000000-0005-0000-0000-00001E270000}"/>
    <cellStyle name="Normal 5 2 2 2 3 2 3 2" xfId="6119" xr:uid="{00000000-0005-0000-0000-00001F270000}"/>
    <cellStyle name="Normal 5 2 2 2 3 2 3 3" xfId="11035" xr:uid="{00000000-0005-0000-0000-000020270000}"/>
    <cellStyle name="Normal 5 2 2 2 3 2 4" xfId="3487" xr:uid="{00000000-0005-0000-0000-000021270000}"/>
    <cellStyle name="Normal 5 2 2 2 3 2 4 2" xfId="7343" xr:uid="{00000000-0005-0000-0000-000022270000}"/>
    <cellStyle name="Normal 5 2 2 2 3 2 4 3" xfId="9793" xr:uid="{00000000-0005-0000-0000-000023270000}"/>
    <cellStyle name="Normal 5 2 2 2 3 2 5" xfId="4895" xr:uid="{00000000-0005-0000-0000-000024270000}"/>
    <cellStyle name="Normal 5 2 2 2 3 2 6" xfId="8550" xr:uid="{00000000-0005-0000-0000-000025270000}"/>
    <cellStyle name="Normal 5 2 2 2 3 3" xfId="1339" xr:uid="{00000000-0005-0000-0000-000026270000}"/>
    <cellStyle name="Normal 5 2 2 2 3 3 2" xfId="2565" xr:uid="{00000000-0005-0000-0000-000027270000}"/>
    <cellStyle name="Normal 5 2 2 2 3 3 2 2" xfId="6425" xr:uid="{00000000-0005-0000-0000-000028270000}"/>
    <cellStyle name="Normal 5 2 2 2 3 3 2 3" xfId="11377" xr:uid="{00000000-0005-0000-0000-000029270000}"/>
    <cellStyle name="Normal 5 2 2 2 3 3 3" xfId="3793" xr:uid="{00000000-0005-0000-0000-00002A270000}"/>
    <cellStyle name="Normal 5 2 2 2 3 3 3 2" xfId="7649" xr:uid="{00000000-0005-0000-0000-00002B270000}"/>
    <cellStyle name="Normal 5 2 2 2 3 3 3 3" xfId="10135" xr:uid="{00000000-0005-0000-0000-00002C270000}"/>
    <cellStyle name="Normal 5 2 2 2 3 3 4" xfId="5201" xr:uid="{00000000-0005-0000-0000-00002D270000}"/>
    <cellStyle name="Normal 5 2 2 2 3 3 5" xfId="8893" xr:uid="{00000000-0005-0000-0000-00002E270000}"/>
    <cellStyle name="Normal 5 2 2 2 3 4" xfId="1953" xr:uid="{00000000-0005-0000-0000-00002F270000}"/>
    <cellStyle name="Normal 5 2 2 2 3 4 2" xfId="5813" xr:uid="{00000000-0005-0000-0000-000030270000}"/>
    <cellStyle name="Normal 5 2 2 2 3 4 3" xfId="10747" xr:uid="{00000000-0005-0000-0000-000031270000}"/>
    <cellStyle name="Normal 5 2 2 2 3 5" xfId="3180" xr:uid="{00000000-0005-0000-0000-000032270000}"/>
    <cellStyle name="Normal 5 2 2 2 3 5 2" xfId="7037" xr:uid="{00000000-0005-0000-0000-000033270000}"/>
    <cellStyle name="Normal 5 2 2 2 3 5 3" xfId="11953" xr:uid="{00000000-0005-0000-0000-000034270000}"/>
    <cellStyle name="Normal 5 2 2 2 3 6" xfId="4589" xr:uid="{00000000-0005-0000-0000-000035270000}"/>
    <cellStyle name="Normal 5 2 2 2 3 6 2" xfId="9505" xr:uid="{00000000-0005-0000-0000-000036270000}"/>
    <cellStyle name="Normal 5 2 2 2 3 7" xfId="8262" xr:uid="{00000000-0005-0000-0000-000037270000}"/>
    <cellStyle name="Normal 5 2 2 2 4" xfId="940" xr:uid="{00000000-0005-0000-0000-000038270000}"/>
    <cellStyle name="Normal 5 2 2 2 4 2" xfId="1555" xr:uid="{00000000-0005-0000-0000-000039270000}"/>
    <cellStyle name="Normal 5 2 2 2 4 2 2" xfId="2781" xr:uid="{00000000-0005-0000-0000-00003A270000}"/>
    <cellStyle name="Normal 5 2 2 2 4 2 2 2" xfId="6641" xr:uid="{00000000-0005-0000-0000-00003B270000}"/>
    <cellStyle name="Normal 5 2 2 2 4 2 2 3" xfId="11593" xr:uid="{00000000-0005-0000-0000-00003C270000}"/>
    <cellStyle name="Normal 5 2 2 2 4 2 3" xfId="4009" xr:uid="{00000000-0005-0000-0000-00003D270000}"/>
    <cellStyle name="Normal 5 2 2 2 4 2 3 2" xfId="7865" xr:uid="{00000000-0005-0000-0000-00003E270000}"/>
    <cellStyle name="Normal 5 2 2 2 4 2 3 3" xfId="10351" xr:uid="{00000000-0005-0000-0000-00003F270000}"/>
    <cellStyle name="Normal 5 2 2 2 4 2 4" xfId="5417" xr:uid="{00000000-0005-0000-0000-000040270000}"/>
    <cellStyle name="Normal 5 2 2 2 4 2 5" xfId="9109" xr:uid="{00000000-0005-0000-0000-000041270000}"/>
    <cellStyle name="Normal 5 2 2 2 4 3" xfId="2169" xr:uid="{00000000-0005-0000-0000-000042270000}"/>
    <cellStyle name="Normal 5 2 2 2 4 3 2" xfId="6029" xr:uid="{00000000-0005-0000-0000-000043270000}"/>
    <cellStyle name="Normal 5 2 2 2 4 3 3" xfId="10945" xr:uid="{00000000-0005-0000-0000-000044270000}"/>
    <cellStyle name="Normal 5 2 2 2 4 4" xfId="3397" xr:uid="{00000000-0005-0000-0000-000045270000}"/>
    <cellStyle name="Normal 5 2 2 2 4 4 2" xfId="7253" xr:uid="{00000000-0005-0000-0000-000046270000}"/>
    <cellStyle name="Normal 5 2 2 2 4 4 3" xfId="9703" xr:uid="{00000000-0005-0000-0000-000047270000}"/>
    <cellStyle name="Normal 5 2 2 2 4 5" xfId="4805" xr:uid="{00000000-0005-0000-0000-000048270000}"/>
    <cellStyle name="Normal 5 2 2 2 4 6" xfId="8460" xr:uid="{00000000-0005-0000-0000-000049270000}"/>
    <cellStyle name="Normal 5 2 2 2 5" xfId="1249" xr:uid="{00000000-0005-0000-0000-00004A270000}"/>
    <cellStyle name="Normal 5 2 2 2 5 2" xfId="2475" xr:uid="{00000000-0005-0000-0000-00004B270000}"/>
    <cellStyle name="Normal 5 2 2 2 5 2 2" xfId="6335" xr:uid="{00000000-0005-0000-0000-00004C270000}"/>
    <cellStyle name="Normal 5 2 2 2 5 2 3" xfId="11287" xr:uid="{00000000-0005-0000-0000-00004D270000}"/>
    <cellStyle name="Normal 5 2 2 2 5 3" xfId="3703" xr:uid="{00000000-0005-0000-0000-00004E270000}"/>
    <cellStyle name="Normal 5 2 2 2 5 3 2" xfId="7559" xr:uid="{00000000-0005-0000-0000-00004F270000}"/>
    <cellStyle name="Normal 5 2 2 2 5 3 3" xfId="10045" xr:uid="{00000000-0005-0000-0000-000050270000}"/>
    <cellStyle name="Normal 5 2 2 2 5 4" xfId="5111" xr:uid="{00000000-0005-0000-0000-000051270000}"/>
    <cellStyle name="Normal 5 2 2 2 5 5" xfId="8803" xr:uid="{00000000-0005-0000-0000-000052270000}"/>
    <cellStyle name="Normal 5 2 2 2 6" xfId="1863" xr:uid="{00000000-0005-0000-0000-000053270000}"/>
    <cellStyle name="Normal 5 2 2 2 6 2" xfId="5723" xr:uid="{00000000-0005-0000-0000-000054270000}"/>
    <cellStyle name="Normal 5 2 2 2 6 3" xfId="10657" xr:uid="{00000000-0005-0000-0000-000055270000}"/>
    <cellStyle name="Normal 5 2 2 2 7" xfId="3090" xr:uid="{00000000-0005-0000-0000-000056270000}"/>
    <cellStyle name="Normal 5 2 2 2 7 2" xfId="6947" xr:uid="{00000000-0005-0000-0000-000057270000}"/>
    <cellStyle name="Normal 5 2 2 2 7 3" xfId="11863" xr:uid="{00000000-0005-0000-0000-000058270000}"/>
    <cellStyle name="Normal 5 2 2 2 8" xfId="4499" xr:uid="{00000000-0005-0000-0000-000059270000}"/>
    <cellStyle name="Normal 5 2 2 2 8 2" xfId="9415" xr:uid="{00000000-0005-0000-0000-00005A270000}"/>
    <cellStyle name="Normal 5 2 2 2 9" xfId="8172" xr:uid="{00000000-0005-0000-0000-00005B270000}"/>
    <cellStyle name="Normal 5 2 2 3" xfId="735" xr:uid="{00000000-0005-0000-0000-00005C270000}"/>
    <cellStyle name="Normal 5 2 2 3 2" xfId="1085" xr:uid="{00000000-0005-0000-0000-00005D270000}"/>
    <cellStyle name="Normal 5 2 2 3 2 2" xfId="1699" xr:uid="{00000000-0005-0000-0000-00005E270000}"/>
    <cellStyle name="Normal 5 2 2 3 2 2 2" xfId="2925" xr:uid="{00000000-0005-0000-0000-00005F270000}"/>
    <cellStyle name="Normal 5 2 2 3 2 2 2 2" xfId="6785" xr:uid="{00000000-0005-0000-0000-000060270000}"/>
    <cellStyle name="Normal 5 2 2 3 2 2 2 3" xfId="11737" xr:uid="{00000000-0005-0000-0000-000061270000}"/>
    <cellStyle name="Normal 5 2 2 3 2 2 3" xfId="4153" xr:uid="{00000000-0005-0000-0000-000062270000}"/>
    <cellStyle name="Normal 5 2 2 3 2 2 3 2" xfId="8009" xr:uid="{00000000-0005-0000-0000-000063270000}"/>
    <cellStyle name="Normal 5 2 2 3 2 2 3 3" xfId="10495" xr:uid="{00000000-0005-0000-0000-000064270000}"/>
    <cellStyle name="Normal 5 2 2 3 2 2 4" xfId="5561" xr:uid="{00000000-0005-0000-0000-000065270000}"/>
    <cellStyle name="Normal 5 2 2 3 2 2 5" xfId="9253" xr:uid="{00000000-0005-0000-0000-000066270000}"/>
    <cellStyle name="Normal 5 2 2 3 2 3" xfId="2313" xr:uid="{00000000-0005-0000-0000-000067270000}"/>
    <cellStyle name="Normal 5 2 2 3 2 3 2" xfId="6173" xr:uid="{00000000-0005-0000-0000-000068270000}"/>
    <cellStyle name="Normal 5 2 2 3 2 3 3" xfId="11089" xr:uid="{00000000-0005-0000-0000-000069270000}"/>
    <cellStyle name="Normal 5 2 2 3 2 4" xfId="3541" xr:uid="{00000000-0005-0000-0000-00006A270000}"/>
    <cellStyle name="Normal 5 2 2 3 2 4 2" xfId="7397" xr:uid="{00000000-0005-0000-0000-00006B270000}"/>
    <cellStyle name="Normal 5 2 2 3 2 4 3" xfId="9847" xr:uid="{00000000-0005-0000-0000-00006C270000}"/>
    <cellStyle name="Normal 5 2 2 3 2 5" xfId="4949" xr:uid="{00000000-0005-0000-0000-00006D270000}"/>
    <cellStyle name="Normal 5 2 2 3 2 6" xfId="8604" xr:uid="{00000000-0005-0000-0000-00006E270000}"/>
    <cellStyle name="Normal 5 2 2 3 3" xfId="1393" xr:uid="{00000000-0005-0000-0000-00006F270000}"/>
    <cellStyle name="Normal 5 2 2 3 3 2" xfId="2619" xr:uid="{00000000-0005-0000-0000-000070270000}"/>
    <cellStyle name="Normal 5 2 2 3 3 2 2" xfId="6479" xr:uid="{00000000-0005-0000-0000-000071270000}"/>
    <cellStyle name="Normal 5 2 2 3 3 2 3" xfId="11431" xr:uid="{00000000-0005-0000-0000-000072270000}"/>
    <cellStyle name="Normal 5 2 2 3 3 3" xfId="3847" xr:uid="{00000000-0005-0000-0000-000073270000}"/>
    <cellStyle name="Normal 5 2 2 3 3 3 2" xfId="7703" xr:uid="{00000000-0005-0000-0000-000074270000}"/>
    <cellStyle name="Normal 5 2 2 3 3 3 3" xfId="10189" xr:uid="{00000000-0005-0000-0000-000075270000}"/>
    <cellStyle name="Normal 5 2 2 3 3 4" xfId="5255" xr:uid="{00000000-0005-0000-0000-000076270000}"/>
    <cellStyle name="Normal 5 2 2 3 3 5" xfId="8947" xr:uid="{00000000-0005-0000-0000-000077270000}"/>
    <cellStyle name="Normal 5 2 2 3 4" xfId="2007" xr:uid="{00000000-0005-0000-0000-000078270000}"/>
    <cellStyle name="Normal 5 2 2 3 4 2" xfId="5867" xr:uid="{00000000-0005-0000-0000-000079270000}"/>
    <cellStyle name="Normal 5 2 2 3 4 3" xfId="10801" xr:uid="{00000000-0005-0000-0000-00007A270000}"/>
    <cellStyle name="Normal 5 2 2 3 5" xfId="3234" xr:uid="{00000000-0005-0000-0000-00007B270000}"/>
    <cellStyle name="Normal 5 2 2 3 5 2" xfId="7091" xr:uid="{00000000-0005-0000-0000-00007C270000}"/>
    <cellStyle name="Normal 5 2 2 3 5 3" xfId="12007" xr:uid="{00000000-0005-0000-0000-00007D270000}"/>
    <cellStyle name="Normal 5 2 2 3 6" xfId="4643" xr:uid="{00000000-0005-0000-0000-00007E270000}"/>
    <cellStyle name="Normal 5 2 2 3 6 2" xfId="9559" xr:uid="{00000000-0005-0000-0000-00007F270000}"/>
    <cellStyle name="Normal 5 2 2 3 7" xfId="8316" xr:uid="{00000000-0005-0000-0000-000080270000}"/>
    <cellStyle name="Normal 5 2 2 4" xfId="645" xr:uid="{00000000-0005-0000-0000-000081270000}"/>
    <cellStyle name="Normal 5 2 2 4 2" xfId="995" xr:uid="{00000000-0005-0000-0000-000082270000}"/>
    <cellStyle name="Normal 5 2 2 4 2 2" xfId="1609" xr:uid="{00000000-0005-0000-0000-000083270000}"/>
    <cellStyle name="Normal 5 2 2 4 2 2 2" xfId="2835" xr:uid="{00000000-0005-0000-0000-000084270000}"/>
    <cellStyle name="Normal 5 2 2 4 2 2 2 2" xfId="6695" xr:uid="{00000000-0005-0000-0000-000085270000}"/>
    <cellStyle name="Normal 5 2 2 4 2 2 2 3" xfId="11647" xr:uid="{00000000-0005-0000-0000-000086270000}"/>
    <cellStyle name="Normal 5 2 2 4 2 2 3" xfId="4063" xr:uid="{00000000-0005-0000-0000-000087270000}"/>
    <cellStyle name="Normal 5 2 2 4 2 2 3 2" xfId="7919" xr:uid="{00000000-0005-0000-0000-000088270000}"/>
    <cellStyle name="Normal 5 2 2 4 2 2 3 3" xfId="10405" xr:uid="{00000000-0005-0000-0000-000089270000}"/>
    <cellStyle name="Normal 5 2 2 4 2 2 4" xfId="5471" xr:uid="{00000000-0005-0000-0000-00008A270000}"/>
    <cellStyle name="Normal 5 2 2 4 2 2 5" xfId="9163" xr:uid="{00000000-0005-0000-0000-00008B270000}"/>
    <cellStyle name="Normal 5 2 2 4 2 3" xfId="2223" xr:uid="{00000000-0005-0000-0000-00008C270000}"/>
    <cellStyle name="Normal 5 2 2 4 2 3 2" xfId="6083" xr:uid="{00000000-0005-0000-0000-00008D270000}"/>
    <cellStyle name="Normal 5 2 2 4 2 3 3" xfId="10999" xr:uid="{00000000-0005-0000-0000-00008E270000}"/>
    <cellStyle name="Normal 5 2 2 4 2 4" xfId="3451" xr:uid="{00000000-0005-0000-0000-00008F270000}"/>
    <cellStyle name="Normal 5 2 2 4 2 4 2" xfId="7307" xr:uid="{00000000-0005-0000-0000-000090270000}"/>
    <cellStyle name="Normal 5 2 2 4 2 4 3" xfId="9757" xr:uid="{00000000-0005-0000-0000-000091270000}"/>
    <cellStyle name="Normal 5 2 2 4 2 5" xfId="4859" xr:uid="{00000000-0005-0000-0000-000092270000}"/>
    <cellStyle name="Normal 5 2 2 4 2 6" xfId="8514" xr:uid="{00000000-0005-0000-0000-000093270000}"/>
    <cellStyle name="Normal 5 2 2 4 3" xfId="1303" xr:uid="{00000000-0005-0000-0000-000094270000}"/>
    <cellStyle name="Normal 5 2 2 4 3 2" xfId="2529" xr:uid="{00000000-0005-0000-0000-000095270000}"/>
    <cellStyle name="Normal 5 2 2 4 3 2 2" xfId="6389" xr:uid="{00000000-0005-0000-0000-000096270000}"/>
    <cellStyle name="Normal 5 2 2 4 3 2 3" xfId="11341" xr:uid="{00000000-0005-0000-0000-000097270000}"/>
    <cellStyle name="Normal 5 2 2 4 3 3" xfId="3757" xr:uid="{00000000-0005-0000-0000-000098270000}"/>
    <cellStyle name="Normal 5 2 2 4 3 3 2" xfId="7613" xr:uid="{00000000-0005-0000-0000-000099270000}"/>
    <cellStyle name="Normal 5 2 2 4 3 3 3" xfId="10099" xr:uid="{00000000-0005-0000-0000-00009A270000}"/>
    <cellStyle name="Normal 5 2 2 4 3 4" xfId="5165" xr:uid="{00000000-0005-0000-0000-00009B270000}"/>
    <cellStyle name="Normal 5 2 2 4 3 5" xfId="8857" xr:uid="{00000000-0005-0000-0000-00009C270000}"/>
    <cellStyle name="Normal 5 2 2 4 4" xfId="1917" xr:uid="{00000000-0005-0000-0000-00009D270000}"/>
    <cellStyle name="Normal 5 2 2 4 4 2" xfId="5777" xr:uid="{00000000-0005-0000-0000-00009E270000}"/>
    <cellStyle name="Normal 5 2 2 4 4 3" xfId="10711" xr:uid="{00000000-0005-0000-0000-00009F270000}"/>
    <cellStyle name="Normal 5 2 2 4 5" xfId="3144" xr:uid="{00000000-0005-0000-0000-0000A0270000}"/>
    <cellStyle name="Normal 5 2 2 4 5 2" xfId="7001" xr:uid="{00000000-0005-0000-0000-0000A1270000}"/>
    <cellStyle name="Normal 5 2 2 4 5 3" xfId="11917" xr:uid="{00000000-0005-0000-0000-0000A2270000}"/>
    <cellStyle name="Normal 5 2 2 4 6" xfId="4553" xr:uid="{00000000-0005-0000-0000-0000A3270000}"/>
    <cellStyle name="Normal 5 2 2 4 6 2" xfId="9469" xr:uid="{00000000-0005-0000-0000-0000A4270000}"/>
    <cellStyle name="Normal 5 2 2 4 7" xfId="8226" xr:uid="{00000000-0005-0000-0000-0000A5270000}"/>
    <cellStyle name="Normal 5 2 2 5" xfId="552" xr:uid="{00000000-0005-0000-0000-0000A6270000}"/>
    <cellStyle name="Normal 5 2 2 5 2" xfId="902" xr:uid="{00000000-0005-0000-0000-0000A7270000}"/>
    <cellStyle name="Normal 5 2 2 5 2 2" xfId="1519" xr:uid="{00000000-0005-0000-0000-0000A8270000}"/>
    <cellStyle name="Normal 5 2 2 5 2 2 2" xfId="2745" xr:uid="{00000000-0005-0000-0000-0000A9270000}"/>
    <cellStyle name="Normal 5 2 2 5 2 2 2 2" xfId="6605" xr:uid="{00000000-0005-0000-0000-0000AA270000}"/>
    <cellStyle name="Normal 5 2 2 5 2 2 2 3" xfId="11557" xr:uid="{00000000-0005-0000-0000-0000AB270000}"/>
    <cellStyle name="Normal 5 2 2 5 2 2 3" xfId="3973" xr:uid="{00000000-0005-0000-0000-0000AC270000}"/>
    <cellStyle name="Normal 5 2 2 5 2 2 3 2" xfId="7829" xr:uid="{00000000-0005-0000-0000-0000AD270000}"/>
    <cellStyle name="Normal 5 2 2 5 2 2 3 3" xfId="10315" xr:uid="{00000000-0005-0000-0000-0000AE270000}"/>
    <cellStyle name="Normal 5 2 2 5 2 2 4" xfId="5381" xr:uid="{00000000-0005-0000-0000-0000AF270000}"/>
    <cellStyle name="Normal 5 2 2 5 2 2 5" xfId="9073" xr:uid="{00000000-0005-0000-0000-0000B0270000}"/>
    <cellStyle name="Normal 5 2 2 5 2 3" xfId="2133" xr:uid="{00000000-0005-0000-0000-0000B1270000}"/>
    <cellStyle name="Normal 5 2 2 5 2 3 2" xfId="5993" xr:uid="{00000000-0005-0000-0000-0000B2270000}"/>
    <cellStyle name="Normal 5 2 2 5 2 3 3" xfId="11161" xr:uid="{00000000-0005-0000-0000-0000B3270000}"/>
    <cellStyle name="Normal 5 2 2 5 2 4" xfId="3361" xr:uid="{00000000-0005-0000-0000-0000B4270000}"/>
    <cellStyle name="Normal 5 2 2 5 2 4 2" xfId="7217" xr:uid="{00000000-0005-0000-0000-0000B5270000}"/>
    <cellStyle name="Normal 5 2 2 5 2 4 3" xfId="9919" xr:uid="{00000000-0005-0000-0000-0000B6270000}"/>
    <cellStyle name="Normal 5 2 2 5 2 5" xfId="4769" xr:uid="{00000000-0005-0000-0000-0000B7270000}"/>
    <cellStyle name="Normal 5 2 2 5 2 6" xfId="8677" xr:uid="{00000000-0005-0000-0000-0000B8270000}"/>
    <cellStyle name="Normal 5 2 2 5 3" xfId="1213" xr:uid="{00000000-0005-0000-0000-0000B9270000}"/>
    <cellStyle name="Normal 5 2 2 5 3 2" xfId="2439" xr:uid="{00000000-0005-0000-0000-0000BA270000}"/>
    <cellStyle name="Normal 5 2 2 5 3 2 2" xfId="6299" xr:uid="{00000000-0005-0000-0000-0000BB270000}"/>
    <cellStyle name="Normal 5 2 2 5 3 2 3" xfId="11251" xr:uid="{00000000-0005-0000-0000-0000BC270000}"/>
    <cellStyle name="Normal 5 2 2 5 3 3" xfId="3667" xr:uid="{00000000-0005-0000-0000-0000BD270000}"/>
    <cellStyle name="Normal 5 2 2 5 3 3 2" xfId="7523" xr:uid="{00000000-0005-0000-0000-0000BE270000}"/>
    <cellStyle name="Normal 5 2 2 5 3 3 3" xfId="10009" xr:uid="{00000000-0005-0000-0000-0000BF270000}"/>
    <cellStyle name="Normal 5 2 2 5 3 4" xfId="5075" xr:uid="{00000000-0005-0000-0000-0000C0270000}"/>
    <cellStyle name="Normal 5 2 2 5 3 5" xfId="8767" xr:uid="{00000000-0005-0000-0000-0000C1270000}"/>
    <cellStyle name="Normal 5 2 2 5 4" xfId="1827" xr:uid="{00000000-0005-0000-0000-0000C2270000}"/>
    <cellStyle name="Normal 5 2 2 5 4 2" xfId="5687" xr:uid="{00000000-0005-0000-0000-0000C3270000}"/>
    <cellStyle name="Normal 5 2 2 5 4 2 2" xfId="11143" xr:uid="{00000000-0005-0000-0000-0000C4270000}"/>
    <cellStyle name="Normal 5 2 2 5 4 3" xfId="9901" xr:uid="{00000000-0005-0000-0000-0000C5270000}"/>
    <cellStyle name="Normal 5 2 2 5 4 4" xfId="8658" xr:uid="{00000000-0005-0000-0000-0000C6270000}"/>
    <cellStyle name="Normal 5 2 2 5 5" xfId="3054" xr:uid="{00000000-0005-0000-0000-0000C7270000}"/>
    <cellStyle name="Normal 5 2 2 5 5 2" xfId="6911" xr:uid="{00000000-0005-0000-0000-0000C8270000}"/>
    <cellStyle name="Normal 5 2 2 5 5 3" xfId="10621" xr:uid="{00000000-0005-0000-0000-0000C9270000}"/>
    <cellStyle name="Normal 5 2 2 5 6" xfId="4463" xr:uid="{00000000-0005-0000-0000-0000CA270000}"/>
    <cellStyle name="Normal 5 2 2 5 6 2" xfId="9379" xr:uid="{00000000-0005-0000-0000-0000CB270000}"/>
    <cellStyle name="Normal 5 2 2 5 7" xfId="8136" xr:uid="{00000000-0005-0000-0000-0000CC270000}"/>
    <cellStyle name="Normal 5 2 2 6" xfId="827" xr:uid="{00000000-0005-0000-0000-0000CD270000}"/>
    <cellStyle name="Normal 5 2 2 6 2" xfId="1465" xr:uid="{00000000-0005-0000-0000-0000CE270000}"/>
    <cellStyle name="Normal 5 2 2 6 2 2" xfId="2691" xr:uid="{00000000-0005-0000-0000-0000CF270000}"/>
    <cellStyle name="Normal 5 2 2 6 2 2 2" xfId="6551" xr:uid="{00000000-0005-0000-0000-0000D0270000}"/>
    <cellStyle name="Normal 5 2 2 6 2 2 3" xfId="11503" xr:uid="{00000000-0005-0000-0000-0000D1270000}"/>
    <cellStyle name="Normal 5 2 2 6 2 3" xfId="3919" xr:uid="{00000000-0005-0000-0000-0000D2270000}"/>
    <cellStyle name="Normal 5 2 2 6 2 3 2" xfId="7775" xr:uid="{00000000-0005-0000-0000-0000D3270000}"/>
    <cellStyle name="Normal 5 2 2 6 2 3 3" xfId="10261" xr:uid="{00000000-0005-0000-0000-0000D4270000}"/>
    <cellStyle name="Normal 5 2 2 6 2 4" xfId="5327" xr:uid="{00000000-0005-0000-0000-0000D5270000}"/>
    <cellStyle name="Normal 5 2 2 6 2 5" xfId="9019" xr:uid="{00000000-0005-0000-0000-0000D6270000}"/>
    <cellStyle name="Normal 5 2 2 6 3" xfId="2079" xr:uid="{00000000-0005-0000-0000-0000D7270000}"/>
    <cellStyle name="Normal 5 2 2 6 3 2" xfId="5939" xr:uid="{00000000-0005-0000-0000-0000D8270000}"/>
    <cellStyle name="Normal 5 2 2 6 3 3" xfId="10909" xr:uid="{00000000-0005-0000-0000-0000D9270000}"/>
    <cellStyle name="Normal 5 2 2 6 4" xfId="3307" xr:uid="{00000000-0005-0000-0000-0000DA270000}"/>
    <cellStyle name="Normal 5 2 2 6 4 2" xfId="7163" xr:uid="{00000000-0005-0000-0000-0000DB270000}"/>
    <cellStyle name="Normal 5 2 2 6 4 3" xfId="9667" xr:uid="{00000000-0005-0000-0000-0000DC270000}"/>
    <cellStyle name="Normal 5 2 2 6 5" xfId="4715" xr:uid="{00000000-0005-0000-0000-0000DD270000}"/>
    <cellStyle name="Normal 5 2 2 6 6" xfId="8424" xr:uid="{00000000-0005-0000-0000-0000DE270000}"/>
    <cellStyle name="Normal 5 2 2 7" xfId="1159" xr:uid="{00000000-0005-0000-0000-0000DF270000}"/>
    <cellStyle name="Normal 5 2 2 7 2" xfId="2385" xr:uid="{00000000-0005-0000-0000-0000E0270000}"/>
    <cellStyle name="Normal 5 2 2 7 2 2" xfId="6245" xr:uid="{00000000-0005-0000-0000-0000E1270000}"/>
    <cellStyle name="Normal 5 2 2 7 2 3" xfId="11197" xr:uid="{00000000-0005-0000-0000-0000E2270000}"/>
    <cellStyle name="Normal 5 2 2 7 3" xfId="3613" xr:uid="{00000000-0005-0000-0000-0000E3270000}"/>
    <cellStyle name="Normal 5 2 2 7 3 2" xfId="7469" xr:uid="{00000000-0005-0000-0000-0000E4270000}"/>
    <cellStyle name="Normal 5 2 2 7 3 3" xfId="9955" xr:uid="{00000000-0005-0000-0000-0000E5270000}"/>
    <cellStyle name="Normal 5 2 2 7 4" xfId="5021" xr:uid="{00000000-0005-0000-0000-0000E6270000}"/>
    <cellStyle name="Normal 5 2 2 7 5" xfId="8713" xr:uid="{00000000-0005-0000-0000-0000E7270000}"/>
    <cellStyle name="Normal 5 2 2 8" xfId="477" xr:uid="{00000000-0005-0000-0000-0000E8270000}"/>
    <cellStyle name="Normal 5 2 2 8 2" xfId="4409" xr:uid="{00000000-0005-0000-0000-0000E9270000}"/>
    <cellStyle name="Normal 5 2 2 8 3" xfId="10567" xr:uid="{00000000-0005-0000-0000-0000EA270000}"/>
    <cellStyle name="Normal 5 2 2 9" xfId="1773" xr:uid="{00000000-0005-0000-0000-0000EB270000}"/>
    <cellStyle name="Normal 5 2 2 9 2" xfId="5633" xr:uid="{00000000-0005-0000-0000-0000EC270000}"/>
    <cellStyle name="Normal 5 2 2 9 3" xfId="11827" xr:uid="{00000000-0005-0000-0000-0000ED270000}"/>
    <cellStyle name="Normal 5 2 3" xfId="272" xr:uid="{00000000-0005-0000-0000-0000EE270000}"/>
    <cellStyle name="Normal 5 2 3 2" xfId="753" xr:uid="{00000000-0005-0000-0000-0000EF270000}"/>
    <cellStyle name="Normal 5 2 3 2 2" xfId="1103" xr:uid="{00000000-0005-0000-0000-0000F0270000}"/>
    <cellStyle name="Normal 5 2 3 2 2 2" xfId="1717" xr:uid="{00000000-0005-0000-0000-0000F1270000}"/>
    <cellStyle name="Normal 5 2 3 2 2 2 2" xfId="2943" xr:uid="{00000000-0005-0000-0000-0000F2270000}"/>
    <cellStyle name="Normal 5 2 3 2 2 2 2 2" xfId="6803" xr:uid="{00000000-0005-0000-0000-0000F3270000}"/>
    <cellStyle name="Normal 5 2 3 2 2 2 2 3" xfId="11755" xr:uid="{00000000-0005-0000-0000-0000F4270000}"/>
    <cellStyle name="Normal 5 2 3 2 2 2 3" xfId="4171" xr:uid="{00000000-0005-0000-0000-0000F5270000}"/>
    <cellStyle name="Normal 5 2 3 2 2 2 3 2" xfId="8027" xr:uid="{00000000-0005-0000-0000-0000F6270000}"/>
    <cellStyle name="Normal 5 2 3 2 2 2 3 3" xfId="10513" xr:uid="{00000000-0005-0000-0000-0000F7270000}"/>
    <cellStyle name="Normal 5 2 3 2 2 2 4" xfId="5579" xr:uid="{00000000-0005-0000-0000-0000F8270000}"/>
    <cellStyle name="Normal 5 2 3 2 2 2 5" xfId="9271" xr:uid="{00000000-0005-0000-0000-0000F9270000}"/>
    <cellStyle name="Normal 5 2 3 2 2 3" xfId="2331" xr:uid="{00000000-0005-0000-0000-0000FA270000}"/>
    <cellStyle name="Normal 5 2 3 2 2 3 2" xfId="6191" xr:uid="{00000000-0005-0000-0000-0000FB270000}"/>
    <cellStyle name="Normal 5 2 3 2 2 3 3" xfId="11107" xr:uid="{00000000-0005-0000-0000-0000FC270000}"/>
    <cellStyle name="Normal 5 2 3 2 2 4" xfId="3559" xr:uid="{00000000-0005-0000-0000-0000FD270000}"/>
    <cellStyle name="Normal 5 2 3 2 2 4 2" xfId="7415" xr:uid="{00000000-0005-0000-0000-0000FE270000}"/>
    <cellStyle name="Normal 5 2 3 2 2 4 3" xfId="9865" xr:uid="{00000000-0005-0000-0000-0000FF270000}"/>
    <cellStyle name="Normal 5 2 3 2 2 5" xfId="4967" xr:uid="{00000000-0005-0000-0000-000000280000}"/>
    <cellStyle name="Normal 5 2 3 2 2 6" xfId="8622" xr:uid="{00000000-0005-0000-0000-000001280000}"/>
    <cellStyle name="Normal 5 2 3 2 3" xfId="1411" xr:uid="{00000000-0005-0000-0000-000002280000}"/>
    <cellStyle name="Normal 5 2 3 2 3 2" xfId="2637" xr:uid="{00000000-0005-0000-0000-000003280000}"/>
    <cellStyle name="Normal 5 2 3 2 3 2 2" xfId="6497" xr:uid="{00000000-0005-0000-0000-000004280000}"/>
    <cellStyle name="Normal 5 2 3 2 3 2 3" xfId="11449" xr:uid="{00000000-0005-0000-0000-000005280000}"/>
    <cellStyle name="Normal 5 2 3 2 3 3" xfId="3865" xr:uid="{00000000-0005-0000-0000-000006280000}"/>
    <cellStyle name="Normal 5 2 3 2 3 3 2" xfId="7721" xr:uid="{00000000-0005-0000-0000-000007280000}"/>
    <cellStyle name="Normal 5 2 3 2 3 3 3" xfId="10207" xr:uid="{00000000-0005-0000-0000-000008280000}"/>
    <cellStyle name="Normal 5 2 3 2 3 4" xfId="5273" xr:uid="{00000000-0005-0000-0000-000009280000}"/>
    <cellStyle name="Normal 5 2 3 2 3 5" xfId="8965" xr:uid="{00000000-0005-0000-0000-00000A280000}"/>
    <cellStyle name="Normal 5 2 3 2 4" xfId="2025" xr:uid="{00000000-0005-0000-0000-00000B280000}"/>
    <cellStyle name="Normal 5 2 3 2 4 2" xfId="5885" xr:uid="{00000000-0005-0000-0000-00000C280000}"/>
    <cellStyle name="Normal 5 2 3 2 4 3" xfId="10819" xr:uid="{00000000-0005-0000-0000-00000D280000}"/>
    <cellStyle name="Normal 5 2 3 2 5" xfId="3252" xr:uid="{00000000-0005-0000-0000-00000E280000}"/>
    <cellStyle name="Normal 5 2 3 2 5 2" xfId="7109" xr:uid="{00000000-0005-0000-0000-00000F280000}"/>
    <cellStyle name="Normal 5 2 3 2 5 3" xfId="12025" xr:uid="{00000000-0005-0000-0000-000010280000}"/>
    <cellStyle name="Normal 5 2 3 2 6" xfId="4661" xr:uid="{00000000-0005-0000-0000-000011280000}"/>
    <cellStyle name="Normal 5 2 3 2 6 2" xfId="9577" xr:uid="{00000000-0005-0000-0000-000012280000}"/>
    <cellStyle name="Normal 5 2 3 2 7" xfId="8334" xr:uid="{00000000-0005-0000-0000-000013280000}"/>
    <cellStyle name="Normal 5 2 3 3" xfId="663" xr:uid="{00000000-0005-0000-0000-000014280000}"/>
    <cellStyle name="Normal 5 2 3 3 2" xfId="1013" xr:uid="{00000000-0005-0000-0000-000015280000}"/>
    <cellStyle name="Normal 5 2 3 3 2 2" xfId="1627" xr:uid="{00000000-0005-0000-0000-000016280000}"/>
    <cellStyle name="Normal 5 2 3 3 2 2 2" xfId="2853" xr:uid="{00000000-0005-0000-0000-000017280000}"/>
    <cellStyle name="Normal 5 2 3 3 2 2 2 2" xfId="6713" xr:uid="{00000000-0005-0000-0000-000018280000}"/>
    <cellStyle name="Normal 5 2 3 3 2 2 2 3" xfId="11665" xr:uid="{00000000-0005-0000-0000-000019280000}"/>
    <cellStyle name="Normal 5 2 3 3 2 2 3" xfId="4081" xr:uid="{00000000-0005-0000-0000-00001A280000}"/>
    <cellStyle name="Normal 5 2 3 3 2 2 3 2" xfId="7937" xr:uid="{00000000-0005-0000-0000-00001B280000}"/>
    <cellStyle name="Normal 5 2 3 3 2 2 3 3" xfId="10423" xr:uid="{00000000-0005-0000-0000-00001C280000}"/>
    <cellStyle name="Normal 5 2 3 3 2 2 4" xfId="5489" xr:uid="{00000000-0005-0000-0000-00001D280000}"/>
    <cellStyle name="Normal 5 2 3 3 2 2 5" xfId="9181" xr:uid="{00000000-0005-0000-0000-00001E280000}"/>
    <cellStyle name="Normal 5 2 3 3 2 3" xfId="2241" xr:uid="{00000000-0005-0000-0000-00001F280000}"/>
    <cellStyle name="Normal 5 2 3 3 2 3 2" xfId="6101" xr:uid="{00000000-0005-0000-0000-000020280000}"/>
    <cellStyle name="Normal 5 2 3 3 2 3 3" xfId="11017" xr:uid="{00000000-0005-0000-0000-000021280000}"/>
    <cellStyle name="Normal 5 2 3 3 2 4" xfId="3469" xr:uid="{00000000-0005-0000-0000-000022280000}"/>
    <cellStyle name="Normal 5 2 3 3 2 4 2" xfId="7325" xr:uid="{00000000-0005-0000-0000-000023280000}"/>
    <cellStyle name="Normal 5 2 3 3 2 4 3" xfId="9775" xr:uid="{00000000-0005-0000-0000-000024280000}"/>
    <cellStyle name="Normal 5 2 3 3 2 5" xfId="4877" xr:uid="{00000000-0005-0000-0000-000025280000}"/>
    <cellStyle name="Normal 5 2 3 3 2 6" xfId="8532" xr:uid="{00000000-0005-0000-0000-000026280000}"/>
    <cellStyle name="Normal 5 2 3 3 3" xfId="1321" xr:uid="{00000000-0005-0000-0000-000027280000}"/>
    <cellStyle name="Normal 5 2 3 3 3 2" xfId="2547" xr:uid="{00000000-0005-0000-0000-000028280000}"/>
    <cellStyle name="Normal 5 2 3 3 3 2 2" xfId="6407" xr:uid="{00000000-0005-0000-0000-000029280000}"/>
    <cellStyle name="Normal 5 2 3 3 3 2 3" xfId="11359" xr:uid="{00000000-0005-0000-0000-00002A280000}"/>
    <cellStyle name="Normal 5 2 3 3 3 3" xfId="3775" xr:uid="{00000000-0005-0000-0000-00002B280000}"/>
    <cellStyle name="Normal 5 2 3 3 3 3 2" xfId="7631" xr:uid="{00000000-0005-0000-0000-00002C280000}"/>
    <cellStyle name="Normal 5 2 3 3 3 3 3" xfId="10117" xr:uid="{00000000-0005-0000-0000-00002D280000}"/>
    <cellStyle name="Normal 5 2 3 3 3 4" xfId="5183" xr:uid="{00000000-0005-0000-0000-00002E280000}"/>
    <cellStyle name="Normal 5 2 3 3 3 5" xfId="8875" xr:uid="{00000000-0005-0000-0000-00002F280000}"/>
    <cellStyle name="Normal 5 2 3 3 4" xfId="1935" xr:uid="{00000000-0005-0000-0000-000030280000}"/>
    <cellStyle name="Normal 5 2 3 3 4 2" xfId="5795" xr:uid="{00000000-0005-0000-0000-000031280000}"/>
    <cellStyle name="Normal 5 2 3 3 4 3" xfId="10729" xr:uid="{00000000-0005-0000-0000-000032280000}"/>
    <cellStyle name="Normal 5 2 3 3 5" xfId="3162" xr:uid="{00000000-0005-0000-0000-000033280000}"/>
    <cellStyle name="Normal 5 2 3 3 5 2" xfId="7019" xr:uid="{00000000-0005-0000-0000-000034280000}"/>
    <cellStyle name="Normal 5 2 3 3 5 3" xfId="11935" xr:uid="{00000000-0005-0000-0000-000035280000}"/>
    <cellStyle name="Normal 5 2 3 3 6" xfId="4571" xr:uid="{00000000-0005-0000-0000-000036280000}"/>
    <cellStyle name="Normal 5 2 3 3 6 2" xfId="9487" xr:uid="{00000000-0005-0000-0000-000037280000}"/>
    <cellStyle name="Normal 5 2 3 3 7" xfId="8244" xr:uid="{00000000-0005-0000-0000-000038280000}"/>
    <cellStyle name="Normal 5 2 3 4" xfId="922" xr:uid="{00000000-0005-0000-0000-000039280000}"/>
    <cellStyle name="Normal 5 2 3 4 2" xfId="1537" xr:uid="{00000000-0005-0000-0000-00003A280000}"/>
    <cellStyle name="Normal 5 2 3 4 2 2" xfId="2763" xr:uid="{00000000-0005-0000-0000-00003B280000}"/>
    <cellStyle name="Normal 5 2 3 4 2 2 2" xfId="6623" xr:uid="{00000000-0005-0000-0000-00003C280000}"/>
    <cellStyle name="Normal 5 2 3 4 2 2 3" xfId="11575" xr:uid="{00000000-0005-0000-0000-00003D280000}"/>
    <cellStyle name="Normal 5 2 3 4 2 3" xfId="3991" xr:uid="{00000000-0005-0000-0000-00003E280000}"/>
    <cellStyle name="Normal 5 2 3 4 2 3 2" xfId="7847" xr:uid="{00000000-0005-0000-0000-00003F280000}"/>
    <cellStyle name="Normal 5 2 3 4 2 3 3" xfId="10333" xr:uid="{00000000-0005-0000-0000-000040280000}"/>
    <cellStyle name="Normal 5 2 3 4 2 4" xfId="5399" xr:uid="{00000000-0005-0000-0000-000041280000}"/>
    <cellStyle name="Normal 5 2 3 4 2 5" xfId="9091" xr:uid="{00000000-0005-0000-0000-000042280000}"/>
    <cellStyle name="Normal 5 2 3 4 3" xfId="2151" xr:uid="{00000000-0005-0000-0000-000043280000}"/>
    <cellStyle name="Normal 5 2 3 4 3 2" xfId="6011" xr:uid="{00000000-0005-0000-0000-000044280000}"/>
    <cellStyle name="Normal 5 2 3 4 3 3" xfId="10927" xr:uid="{00000000-0005-0000-0000-000045280000}"/>
    <cellStyle name="Normal 5 2 3 4 4" xfId="3379" xr:uid="{00000000-0005-0000-0000-000046280000}"/>
    <cellStyle name="Normal 5 2 3 4 4 2" xfId="7235" xr:uid="{00000000-0005-0000-0000-000047280000}"/>
    <cellStyle name="Normal 5 2 3 4 4 3" xfId="9685" xr:uid="{00000000-0005-0000-0000-000048280000}"/>
    <cellStyle name="Normal 5 2 3 4 5" xfId="4787" xr:uid="{00000000-0005-0000-0000-000049280000}"/>
    <cellStyle name="Normal 5 2 3 4 6" xfId="8442" xr:uid="{00000000-0005-0000-0000-00004A280000}"/>
    <cellStyle name="Normal 5 2 3 5" xfId="1231" xr:uid="{00000000-0005-0000-0000-00004B280000}"/>
    <cellStyle name="Normal 5 2 3 5 2" xfId="2457" xr:uid="{00000000-0005-0000-0000-00004C280000}"/>
    <cellStyle name="Normal 5 2 3 5 2 2" xfId="6317" xr:uid="{00000000-0005-0000-0000-00004D280000}"/>
    <cellStyle name="Normal 5 2 3 5 2 3" xfId="11269" xr:uid="{00000000-0005-0000-0000-00004E280000}"/>
    <cellStyle name="Normal 5 2 3 5 3" xfId="3685" xr:uid="{00000000-0005-0000-0000-00004F280000}"/>
    <cellStyle name="Normal 5 2 3 5 3 2" xfId="7541" xr:uid="{00000000-0005-0000-0000-000050280000}"/>
    <cellStyle name="Normal 5 2 3 5 3 3" xfId="10027" xr:uid="{00000000-0005-0000-0000-000051280000}"/>
    <cellStyle name="Normal 5 2 3 5 4" xfId="5093" xr:uid="{00000000-0005-0000-0000-000052280000}"/>
    <cellStyle name="Normal 5 2 3 5 5" xfId="8785" xr:uid="{00000000-0005-0000-0000-000053280000}"/>
    <cellStyle name="Normal 5 2 3 6" xfId="572" xr:uid="{00000000-0005-0000-0000-000054280000}"/>
    <cellStyle name="Normal 5 2 3 6 2" xfId="4481" xr:uid="{00000000-0005-0000-0000-000055280000}"/>
    <cellStyle name="Normal 5 2 3 6 3" xfId="10639" xr:uid="{00000000-0005-0000-0000-000056280000}"/>
    <cellStyle name="Normal 5 2 3 7" xfId="1845" xr:uid="{00000000-0005-0000-0000-000057280000}"/>
    <cellStyle name="Normal 5 2 3 7 2" xfId="5705" xr:uid="{00000000-0005-0000-0000-000058280000}"/>
    <cellStyle name="Normal 5 2 3 7 3" xfId="11845" xr:uid="{00000000-0005-0000-0000-000059280000}"/>
    <cellStyle name="Normal 5 2 3 8" xfId="3072" xr:uid="{00000000-0005-0000-0000-00005A280000}"/>
    <cellStyle name="Normal 5 2 3 8 2" xfId="6929" xr:uid="{00000000-0005-0000-0000-00005B280000}"/>
    <cellStyle name="Normal 5 2 3 8 3" xfId="9397" xr:uid="{00000000-0005-0000-0000-00005C280000}"/>
    <cellStyle name="Normal 5 2 3 9" xfId="8154" xr:uid="{00000000-0005-0000-0000-00005D280000}"/>
    <cellStyle name="Normal 5 2 4" xfId="515" xr:uid="{00000000-0005-0000-0000-00005E280000}"/>
    <cellStyle name="Normal 5 2 4 2" xfId="717" xr:uid="{00000000-0005-0000-0000-00005F280000}"/>
    <cellStyle name="Normal 5 2 4 2 2" xfId="1067" xr:uid="{00000000-0005-0000-0000-000060280000}"/>
    <cellStyle name="Normal 5 2 4 2 2 2" xfId="1681" xr:uid="{00000000-0005-0000-0000-000061280000}"/>
    <cellStyle name="Normal 5 2 4 2 2 2 2" xfId="2907" xr:uid="{00000000-0005-0000-0000-000062280000}"/>
    <cellStyle name="Normal 5 2 4 2 2 2 2 2" xfId="6767" xr:uid="{00000000-0005-0000-0000-000063280000}"/>
    <cellStyle name="Normal 5 2 4 2 2 2 2 3" xfId="11719" xr:uid="{00000000-0005-0000-0000-000064280000}"/>
    <cellStyle name="Normal 5 2 4 2 2 2 3" xfId="4135" xr:uid="{00000000-0005-0000-0000-000065280000}"/>
    <cellStyle name="Normal 5 2 4 2 2 2 3 2" xfId="7991" xr:uid="{00000000-0005-0000-0000-000066280000}"/>
    <cellStyle name="Normal 5 2 4 2 2 2 3 3" xfId="10477" xr:uid="{00000000-0005-0000-0000-000067280000}"/>
    <cellStyle name="Normal 5 2 4 2 2 2 4" xfId="5543" xr:uid="{00000000-0005-0000-0000-000068280000}"/>
    <cellStyle name="Normal 5 2 4 2 2 2 5" xfId="9235" xr:uid="{00000000-0005-0000-0000-000069280000}"/>
    <cellStyle name="Normal 5 2 4 2 2 3" xfId="2295" xr:uid="{00000000-0005-0000-0000-00006A280000}"/>
    <cellStyle name="Normal 5 2 4 2 2 3 2" xfId="6155" xr:uid="{00000000-0005-0000-0000-00006B280000}"/>
    <cellStyle name="Normal 5 2 4 2 2 3 3" xfId="11071" xr:uid="{00000000-0005-0000-0000-00006C280000}"/>
    <cellStyle name="Normal 5 2 4 2 2 4" xfId="3523" xr:uid="{00000000-0005-0000-0000-00006D280000}"/>
    <cellStyle name="Normal 5 2 4 2 2 4 2" xfId="7379" xr:uid="{00000000-0005-0000-0000-00006E280000}"/>
    <cellStyle name="Normal 5 2 4 2 2 4 3" xfId="9829" xr:uid="{00000000-0005-0000-0000-00006F280000}"/>
    <cellStyle name="Normal 5 2 4 2 2 5" xfId="4931" xr:uid="{00000000-0005-0000-0000-000070280000}"/>
    <cellStyle name="Normal 5 2 4 2 2 6" xfId="8586" xr:uid="{00000000-0005-0000-0000-000071280000}"/>
    <cellStyle name="Normal 5 2 4 2 3" xfId="1375" xr:uid="{00000000-0005-0000-0000-000072280000}"/>
    <cellStyle name="Normal 5 2 4 2 3 2" xfId="2601" xr:uid="{00000000-0005-0000-0000-000073280000}"/>
    <cellStyle name="Normal 5 2 4 2 3 2 2" xfId="6461" xr:uid="{00000000-0005-0000-0000-000074280000}"/>
    <cellStyle name="Normal 5 2 4 2 3 2 3" xfId="11413" xr:uid="{00000000-0005-0000-0000-000075280000}"/>
    <cellStyle name="Normal 5 2 4 2 3 3" xfId="3829" xr:uid="{00000000-0005-0000-0000-000076280000}"/>
    <cellStyle name="Normal 5 2 4 2 3 3 2" xfId="7685" xr:uid="{00000000-0005-0000-0000-000077280000}"/>
    <cellStyle name="Normal 5 2 4 2 3 3 3" xfId="10171" xr:uid="{00000000-0005-0000-0000-000078280000}"/>
    <cellStyle name="Normal 5 2 4 2 3 4" xfId="5237" xr:uid="{00000000-0005-0000-0000-000079280000}"/>
    <cellStyle name="Normal 5 2 4 2 3 5" xfId="8929" xr:uid="{00000000-0005-0000-0000-00007A280000}"/>
    <cellStyle name="Normal 5 2 4 2 4" xfId="1989" xr:uid="{00000000-0005-0000-0000-00007B280000}"/>
    <cellStyle name="Normal 5 2 4 2 4 2" xfId="5849" xr:uid="{00000000-0005-0000-0000-00007C280000}"/>
    <cellStyle name="Normal 5 2 4 2 4 3" xfId="10783" xr:uid="{00000000-0005-0000-0000-00007D280000}"/>
    <cellStyle name="Normal 5 2 4 2 5" xfId="3216" xr:uid="{00000000-0005-0000-0000-00007E280000}"/>
    <cellStyle name="Normal 5 2 4 2 5 2" xfId="7073" xr:uid="{00000000-0005-0000-0000-00007F280000}"/>
    <cellStyle name="Normal 5 2 4 2 5 3" xfId="11989" xr:uid="{00000000-0005-0000-0000-000080280000}"/>
    <cellStyle name="Normal 5 2 4 2 6" xfId="4625" xr:uid="{00000000-0005-0000-0000-000081280000}"/>
    <cellStyle name="Normal 5 2 4 2 6 2" xfId="9541" xr:uid="{00000000-0005-0000-0000-000082280000}"/>
    <cellStyle name="Normal 5 2 4 2 7" xfId="8298" xr:uid="{00000000-0005-0000-0000-000083280000}"/>
    <cellStyle name="Normal 5 2 4 3" xfId="627" xr:uid="{00000000-0005-0000-0000-000084280000}"/>
    <cellStyle name="Normal 5 2 4 3 2" xfId="977" xr:uid="{00000000-0005-0000-0000-000085280000}"/>
    <cellStyle name="Normal 5 2 4 3 2 2" xfId="1591" xr:uid="{00000000-0005-0000-0000-000086280000}"/>
    <cellStyle name="Normal 5 2 4 3 2 2 2" xfId="2817" xr:uid="{00000000-0005-0000-0000-000087280000}"/>
    <cellStyle name="Normal 5 2 4 3 2 2 2 2" xfId="6677" xr:uid="{00000000-0005-0000-0000-000088280000}"/>
    <cellStyle name="Normal 5 2 4 3 2 2 2 3" xfId="11629" xr:uid="{00000000-0005-0000-0000-000089280000}"/>
    <cellStyle name="Normal 5 2 4 3 2 2 3" xfId="4045" xr:uid="{00000000-0005-0000-0000-00008A280000}"/>
    <cellStyle name="Normal 5 2 4 3 2 2 3 2" xfId="7901" xr:uid="{00000000-0005-0000-0000-00008B280000}"/>
    <cellStyle name="Normal 5 2 4 3 2 2 3 3" xfId="10387" xr:uid="{00000000-0005-0000-0000-00008C280000}"/>
    <cellStyle name="Normal 5 2 4 3 2 2 4" xfId="5453" xr:uid="{00000000-0005-0000-0000-00008D280000}"/>
    <cellStyle name="Normal 5 2 4 3 2 2 5" xfId="9145" xr:uid="{00000000-0005-0000-0000-00008E280000}"/>
    <cellStyle name="Normal 5 2 4 3 2 3" xfId="2205" xr:uid="{00000000-0005-0000-0000-00008F280000}"/>
    <cellStyle name="Normal 5 2 4 3 2 3 2" xfId="6065" xr:uid="{00000000-0005-0000-0000-000090280000}"/>
    <cellStyle name="Normal 5 2 4 3 2 3 3" xfId="10981" xr:uid="{00000000-0005-0000-0000-000091280000}"/>
    <cellStyle name="Normal 5 2 4 3 2 4" xfId="3433" xr:uid="{00000000-0005-0000-0000-000092280000}"/>
    <cellStyle name="Normal 5 2 4 3 2 4 2" xfId="7289" xr:uid="{00000000-0005-0000-0000-000093280000}"/>
    <cellStyle name="Normal 5 2 4 3 2 4 3" xfId="9739" xr:uid="{00000000-0005-0000-0000-000094280000}"/>
    <cellStyle name="Normal 5 2 4 3 2 5" xfId="4841" xr:uid="{00000000-0005-0000-0000-000095280000}"/>
    <cellStyle name="Normal 5 2 4 3 2 6" xfId="8496" xr:uid="{00000000-0005-0000-0000-000096280000}"/>
    <cellStyle name="Normal 5 2 4 3 3" xfId="1285" xr:uid="{00000000-0005-0000-0000-000097280000}"/>
    <cellStyle name="Normal 5 2 4 3 3 2" xfId="2511" xr:uid="{00000000-0005-0000-0000-000098280000}"/>
    <cellStyle name="Normal 5 2 4 3 3 2 2" xfId="6371" xr:uid="{00000000-0005-0000-0000-000099280000}"/>
    <cellStyle name="Normal 5 2 4 3 3 2 3" xfId="11323" xr:uid="{00000000-0005-0000-0000-00009A280000}"/>
    <cellStyle name="Normal 5 2 4 3 3 3" xfId="3739" xr:uid="{00000000-0005-0000-0000-00009B280000}"/>
    <cellStyle name="Normal 5 2 4 3 3 3 2" xfId="7595" xr:uid="{00000000-0005-0000-0000-00009C280000}"/>
    <cellStyle name="Normal 5 2 4 3 3 3 3" xfId="10081" xr:uid="{00000000-0005-0000-0000-00009D280000}"/>
    <cellStyle name="Normal 5 2 4 3 3 4" xfId="5147" xr:uid="{00000000-0005-0000-0000-00009E280000}"/>
    <cellStyle name="Normal 5 2 4 3 3 5" xfId="8839" xr:uid="{00000000-0005-0000-0000-00009F280000}"/>
    <cellStyle name="Normal 5 2 4 3 4" xfId="1899" xr:uid="{00000000-0005-0000-0000-0000A0280000}"/>
    <cellStyle name="Normal 5 2 4 3 4 2" xfId="5759" xr:uid="{00000000-0005-0000-0000-0000A1280000}"/>
    <cellStyle name="Normal 5 2 4 3 4 3" xfId="10693" xr:uid="{00000000-0005-0000-0000-0000A2280000}"/>
    <cellStyle name="Normal 5 2 4 3 5" xfId="3126" xr:uid="{00000000-0005-0000-0000-0000A3280000}"/>
    <cellStyle name="Normal 5 2 4 3 5 2" xfId="6983" xr:uid="{00000000-0005-0000-0000-0000A4280000}"/>
    <cellStyle name="Normal 5 2 4 3 5 3" xfId="11899" xr:uid="{00000000-0005-0000-0000-0000A5280000}"/>
    <cellStyle name="Normal 5 2 4 3 6" xfId="4535" xr:uid="{00000000-0005-0000-0000-0000A6280000}"/>
    <cellStyle name="Normal 5 2 4 3 6 2" xfId="9451" xr:uid="{00000000-0005-0000-0000-0000A7280000}"/>
    <cellStyle name="Normal 5 2 4 3 7" xfId="8208" xr:uid="{00000000-0005-0000-0000-0000A8280000}"/>
    <cellStyle name="Normal 5 2 4 4" xfId="865" xr:uid="{00000000-0005-0000-0000-0000A9280000}"/>
    <cellStyle name="Normal 5 2 4 4 2" xfId="1501" xr:uid="{00000000-0005-0000-0000-0000AA280000}"/>
    <cellStyle name="Normal 5 2 4 4 2 2" xfId="2727" xr:uid="{00000000-0005-0000-0000-0000AB280000}"/>
    <cellStyle name="Normal 5 2 4 4 2 2 2" xfId="6587" xr:uid="{00000000-0005-0000-0000-0000AC280000}"/>
    <cellStyle name="Normal 5 2 4 4 2 2 3" xfId="11539" xr:uid="{00000000-0005-0000-0000-0000AD280000}"/>
    <cellStyle name="Normal 5 2 4 4 2 3" xfId="3955" xr:uid="{00000000-0005-0000-0000-0000AE280000}"/>
    <cellStyle name="Normal 5 2 4 4 2 3 2" xfId="7811" xr:uid="{00000000-0005-0000-0000-0000AF280000}"/>
    <cellStyle name="Normal 5 2 4 4 2 3 3" xfId="10297" xr:uid="{00000000-0005-0000-0000-0000B0280000}"/>
    <cellStyle name="Normal 5 2 4 4 2 4" xfId="5363" xr:uid="{00000000-0005-0000-0000-0000B1280000}"/>
    <cellStyle name="Normal 5 2 4 4 2 5" xfId="9055" xr:uid="{00000000-0005-0000-0000-0000B2280000}"/>
    <cellStyle name="Normal 5 2 4 4 3" xfId="2115" xr:uid="{00000000-0005-0000-0000-0000B3280000}"/>
    <cellStyle name="Normal 5 2 4 4 3 2" xfId="5975" xr:uid="{00000000-0005-0000-0000-0000B4280000}"/>
    <cellStyle name="Normal 5 2 4 4 3 3" xfId="10891" xr:uid="{00000000-0005-0000-0000-0000B5280000}"/>
    <cellStyle name="Normal 5 2 4 4 4" xfId="3343" xr:uid="{00000000-0005-0000-0000-0000B6280000}"/>
    <cellStyle name="Normal 5 2 4 4 4 2" xfId="7199" xr:uid="{00000000-0005-0000-0000-0000B7280000}"/>
    <cellStyle name="Normal 5 2 4 4 4 3" xfId="9649" xr:uid="{00000000-0005-0000-0000-0000B8280000}"/>
    <cellStyle name="Normal 5 2 4 4 5" xfId="4751" xr:uid="{00000000-0005-0000-0000-0000B9280000}"/>
    <cellStyle name="Normal 5 2 4 4 6" xfId="8406" xr:uid="{00000000-0005-0000-0000-0000BA280000}"/>
    <cellStyle name="Normal 5 2 4 5" xfId="1195" xr:uid="{00000000-0005-0000-0000-0000BB280000}"/>
    <cellStyle name="Normal 5 2 4 5 2" xfId="2421" xr:uid="{00000000-0005-0000-0000-0000BC280000}"/>
    <cellStyle name="Normal 5 2 4 5 2 2" xfId="6281" xr:uid="{00000000-0005-0000-0000-0000BD280000}"/>
    <cellStyle name="Normal 5 2 4 5 2 3" xfId="11233" xr:uid="{00000000-0005-0000-0000-0000BE280000}"/>
    <cellStyle name="Normal 5 2 4 5 3" xfId="3649" xr:uid="{00000000-0005-0000-0000-0000BF280000}"/>
    <cellStyle name="Normal 5 2 4 5 3 2" xfId="7505" xr:uid="{00000000-0005-0000-0000-0000C0280000}"/>
    <cellStyle name="Normal 5 2 4 5 3 3" xfId="9991" xr:uid="{00000000-0005-0000-0000-0000C1280000}"/>
    <cellStyle name="Normal 5 2 4 5 4" xfId="5057" xr:uid="{00000000-0005-0000-0000-0000C2280000}"/>
    <cellStyle name="Normal 5 2 4 5 5" xfId="8749" xr:uid="{00000000-0005-0000-0000-0000C3280000}"/>
    <cellStyle name="Normal 5 2 4 6" xfId="1809" xr:uid="{00000000-0005-0000-0000-0000C4280000}"/>
    <cellStyle name="Normal 5 2 4 6 2" xfId="5669" xr:uid="{00000000-0005-0000-0000-0000C5280000}"/>
    <cellStyle name="Normal 5 2 4 6 3" xfId="10603" xr:uid="{00000000-0005-0000-0000-0000C6280000}"/>
    <cellStyle name="Normal 5 2 4 7" xfId="3036" xr:uid="{00000000-0005-0000-0000-0000C7280000}"/>
    <cellStyle name="Normal 5 2 4 7 2" xfId="6893" xr:uid="{00000000-0005-0000-0000-0000C8280000}"/>
    <cellStyle name="Normal 5 2 4 7 3" xfId="11809" xr:uid="{00000000-0005-0000-0000-0000C9280000}"/>
    <cellStyle name="Normal 5 2 4 8" xfId="4445" xr:uid="{00000000-0005-0000-0000-0000CA280000}"/>
    <cellStyle name="Normal 5 2 4 8 2" xfId="9361" xr:uid="{00000000-0005-0000-0000-0000CB280000}"/>
    <cellStyle name="Normal 5 2 4 9" xfId="8118" xr:uid="{00000000-0005-0000-0000-0000CC280000}"/>
    <cellStyle name="Normal 5 2 5" xfId="699" xr:uid="{00000000-0005-0000-0000-0000CD280000}"/>
    <cellStyle name="Normal 5 2 5 2" xfId="1049" xr:uid="{00000000-0005-0000-0000-0000CE280000}"/>
    <cellStyle name="Normal 5 2 5 2 2" xfId="1663" xr:uid="{00000000-0005-0000-0000-0000CF280000}"/>
    <cellStyle name="Normal 5 2 5 2 2 2" xfId="2889" xr:uid="{00000000-0005-0000-0000-0000D0280000}"/>
    <cellStyle name="Normal 5 2 5 2 2 2 2" xfId="6749" xr:uid="{00000000-0005-0000-0000-0000D1280000}"/>
    <cellStyle name="Normal 5 2 5 2 2 2 3" xfId="11701" xr:uid="{00000000-0005-0000-0000-0000D2280000}"/>
    <cellStyle name="Normal 5 2 5 2 2 3" xfId="4117" xr:uid="{00000000-0005-0000-0000-0000D3280000}"/>
    <cellStyle name="Normal 5 2 5 2 2 3 2" xfId="7973" xr:uid="{00000000-0005-0000-0000-0000D4280000}"/>
    <cellStyle name="Normal 5 2 5 2 2 3 3" xfId="10459" xr:uid="{00000000-0005-0000-0000-0000D5280000}"/>
    <cellStyle name="Normal 5 2 5 2 2 4" xfId="5525" xr:uid="{00000000-0005-0000-0000-0000D6280000}"/>
    <cellStyle name="Normal 5 2 5 2 2 5" xfId="9217" xr:uid="{00000000-0005-0000-0000-0000D7280000}"/>
    <cellStyle name="Normal 5 2 5 2 3" xfId="2277" xr:uid="{00000000-0005-0000-0000-0000D8280000}"/>
    <cellStyle name="Normal 5 2 5 2 3 2" xfId="6137" xr:uid="{00000000-0005-0000-0000-0000D9280000}"/>
    <cellStyle name="Normal 5 2 5 2 3 3" xfId="11053" xr:uid="{00000000-0005-0000-0000-0000DA280000}"/>
    <cellStyle name="Normal 5 2 5 2 4" xfId="3505" xr:uid="{00000000-0005-0000-0000-0000DB280000}"/>
    <cellStyle name="Normal 5 2 5 2 4 2" xfId="7361" xr:uid="{00000000-0005-0000-0000-0000DC280000}"/>
    <cellStyle name="Normal 5 2 5 2 4 3" xfId="9811" xr:uid="{00000000-0005-0000-0000-0000DD280000}"/>
    <cellStyle name="Normal 5 2 5 2 5" xfId="4913" xr:uid="{00000000-0005-0000-0000-0000DE280000}"/>
    <cellStyle name="Normal 5 2 5 2 6" xfId="8568" xr:uid="{00000000-0005-0000-0000-0000DF280000}"/>
    <cellStyle name="Normal 5 2 5 3" xfId="1357" xr:uid="{00000000-0005-0000-0000-0000E0280000}"/>
    <cellStyle name="Normal 5 2 5 3 2" xfId="2583" xr:uid="{00000000-0005-0000-0000-0000E1280000}"/>
    <cellStyle name="Normal 5 2 5 3 2 2" xfId="6443" xr:uid="{00000000-0005-0000-0000-0000E2280000}"/>
    <cellStyle name="Normal 5 2 5 3 2 3" xfId="11395" xr:uid="{00000000-0005-0000-0000-0000E3280000}"/>
    <cellStyle name="Normal 5 2 5 3 3" xfId="3811" xr:uid="{00000000-0005-0000-0000-0000E4280000}"/>
    <cellStyle name="Normal 5 2 5 3 3 2" xfId="7667" xr:uid="{00000000-0005-0000-0000-0000E5280000}"/>
    <cellStyle name="Normal 5 2 5 3 3 3" xfId="10153" xr:uid="{00000000-0005-0000-0000-0000E6280000}"/>
    <cellStyle name="Normal 5 2 5 3 4" xfId="5219" xr:uid="{00000000-0005-0000-0000-0000E7280000}"/>
    <cellStyle name="Normal 5 2 5 3 5" xfId="8911" xr:uid="{00000000-0005-0000-0000-0000E8280000}"/>
    <cellStyle name="Normal 5 2 5 4" xfId="1971" xr:uid="{00000000-0005-0000-0000-0000E9280000}"/>
    <cellStyle name="Normal 5 2 5 4 2" xfId="5831" xr:uid="{00000000-0005-0000-0000-0000EA280000}"/>
    <cellStyle name="Normal 5 2 5 4 3" xfId="10765" xr:uid="{00000000-0005-0000-0000-0000EB280000}"/>
    <cellStyle name="Normal 5 2 5 5" xfId="3198" xr:uid="{00000000-0005-0000-0000-0000EC280000}"/>
    <cellStyle name="Normal 5 2 5 5 2" xfId="7055" xr:uid="{00000000-0005-0000-0000-0000ED280000}"/>
    <cellStyle name="Normal 5 2 5 5 3" xfId="11971" xr:uid="{00000000-0005-0000-0000-0000EE280000}"/>
    <cellStyle name="Normal 5 2 5 6" xfId="4607" xr:uid="{00000000-0005-0000-0000-0000EF280000}"/>
    <cellStyle name="Normal 5 2 5 6 2" xfId="9523" xr:uid="{00000000-0005-0000-0000-0000F0280000}"/>
    <cellStyle name="Normal 5 2 5 7" xfId="8280" xr:uid="{00000000-0005-0000-0000-0000F1280000}"/>
    <cellStyle name="Normal 5 2 6" xfId="609" xr:uid="{00000000-0005-0000-0000-0000F2280000}"/>
    <cellStyle name="Normal 5 2 6 2" xfId="959" xr:uid="{00000000-0005-0000-0000-0000F3280000}"/>
    <cellStyle name="Normal 5 2 6 2 2" xfId="1573" xr:uid="{00000000-0005-0000-0000-0000F4280000}"/>
    <cellStyle name="Normal 5 2 6 2 2 2" xfId="2799" xr:uid="{00000000-0005-0000-0000-0000F5280000}"/>
    <cellStyle name="Normal 5 2 6 2 2 2 2" xfId="6659" xr:uid="{00000000-0005-0000-0000-0000F6280000}"/>
    <cellStyle name="Normal 5 2 6 2 2 2 3" xfId="11611" xr:uid="{00000000-0005-0000-0000-0000F7280000}"/>
    <cellStyle name="Normal 5 2 6 2 2 3" xfId="4027" xr:uid="{00000000-0005-0000-0000-0000F8280000}"/>
    <cellStyle name="Normal 5 2 6 2 2 3 2" xfId="7883" xr:uid="{00000000-0005-0000-0000-0000F9280000}"/>
    <cellStyle name="Normal 5 2 6 2 2 3 3" xfId="10369" xr:uid="{00000000-0005-0000-0000-0000FA280000}"/>
    <cellStyle name="Normal 5 2 6 2 2 4" xfId="5435" xr:uid="{00000000-0005-0000-0000-0000FB280000}"/>
    <cellStyle name="Normal 5 2 6 2 2 5" xfId="9127" xr:uid="{00000000-0005-0000-0000-0000FC280000}"/>
    <cellStyle name="Normal 5 2 6 2 3" xfId="2187" xr:uid="{00000000-0005-0000-0000-0000FD280000}"/>
    <cellStyle name="Normal 5 2 6 2 3 2" xfId="6047" xr:uid="{00000000-0005-0000-0000-0000FE280000}"/>
    <cellStyle name="Normal 5 2 6 2 3 3" xfId="10963" xr:uid="{00000000-0005-0000-0000-0000FF280000}"/>
    <cellStyle name="Normal 5 2 6 2 4" xfId="3415" xr:uid="{00000000-0005-0000-0000-000000290000}"/>
    <cellStyle name="Normal 5 2 6 2 4 2" xfId="7271" xr:uid="{00000000-0005-0000-0000-000001290000}"/>
    <cellStyle name="Normal 5 2 6 2 4 3" xfId="9721" xr:uid="{00000000-0005-0000-0000-000002290000}"/>
    <cellStyle name="Normal 5 2 6 2 5" xfId="4823" xr:uid="{00000000-0005-0000-0000-000003290000}"/>
    <cellStyle name="Normal 5 2 6 2 6" xfId="8478" xr:uid="{00000000-0005-0000-0000-000004290000}"/>
    <cellStyle name="Normal 5 2 6 3" xfId="1267" xr:uid="{00000000-0005-0000-0000-000005290000}"/>
    <cellStyle name="Normal 5 2 6 3 2" xfId="2493" xr:uid="{00000000-0005-0000-0000-000006290000}"/>
    <cellStyle name="Normal 5 2 6 3 2 2" xfId="6353" xr:uid="{00000000-0005-0000-0000-000007290000}"/>
    <cellStyle name="Normal 5 2 6 3 2 3" xfId="11305" xr:uid="{00000000-0005-0000-0000-000008290000}"/>
    <cellStyle name="Normal 5 2 6 3 3" xfId="3721" xr:uid="{00000000-0005-0000-0000-000009290000}"/>
    <cellStyle name="Normal 5 2 6 3 3 2" xfId="7577" xr:uid="{00000000-0005-0000-0000-00000A290000}"/>
    <cellStyle name="Normal 5 2 6 3 3 3" xfId="10063" xr:uid="{00000000-0005-0000-0000-00000B290000}"/>
    <cellStyle name="Normal 5 2 6 3 4" xfId="5129" xr:uid="{00000000-0005-0000-0000-00000C290000}"/>
    <cellStyle name="Normal 5 2 6 3 5" xfId="8821" xr:uid="{00000000-0005-0000-0000-00000D290000}"/>
    <cellStyle name="Normal 5 2 6 4" xfId="1881" xr:uid="{00000000-0005-0000-0000-00000E290000}"/>
    <cellStyle name="Normal 5 2 6 4 2" xfId="5741" xr:uid="{00000000-0005-0000-0000-00000F290000}"/>
    <cellStyle name="Normal 5 2 6 4 3" xfId="10675" xr:uid="{00000000-0005-0000-0000-000010290000}"/>
    <cellStyle name="Normal 5 2 6 5" xfId="3108" xr:uid="{00000000-0005-0000-0000-000011290000}"/>
    <cellStyle name="Normal 5 2 6 5 2" xfId="6965" xr:uid="{00000000-0005-0000-0000-000012290000}"/>
    <cellStyle name="Normal 5 2 6 5 3" xfId="11881" xr:uid="{00000000-0005-0000-0000-000013290000}"/>
    <cellStyle name="Normal 5 2 6 6" xfId="4517" xr:uid="{00000000-0005-0000-0000-000014290000}"/>
    <cellStyle name="Normal 5 2 6 6 2" xfId="9433" xr:uid="{00000000-0005-0000-0000-000015290000}"/>
    <cellStyle name="Normal 5 2 6 7" xfId="8190" xr:uid="{00000000-0005-0000-0000-000016290000}"/>
    <cellStyle name="Normal 5 2 7" xfId="495" xr:uid="{00000000-0005-0000-0000-000017290000}"/>
    <cellStyle name="Normal 5 2 7 2" xfId="845" xr:uid="{00000000-0005-0000-0000-000018290000}"/>
    <cellStyle name="Normal 5 2 7 2 2" xfId="1483" xr:uid="{00000000-0005-0000-0000-000019290000}"/>
    <cellStyle name="Normal 5 2 7 2 2 2" xfId="2709" xr:uid="{00000000-0005-0000-0000-00001A290000}"/>
    <cellStyle name="Normal 5 2 7 2 2 2 2" xfId="6569" xr:uid="{00000000-0005-0000-0000-00001B290000}"/>
    <cellStyle name="Normal 5 2 7 2 2 2 3" xfId="11521" xr:uid="{00000000-0005-0000-0000-00001C290000}"/>
    <cellStyle name="Normal 5 2 7 2 2 3" xfId="3937" xr:uid="{00000000-0005-0000-0000-00001D290000}"/>
    <cellStyle name="Normal 5 2 7 2 2 3 2" xfId="7793" xr:uid="{00000000-0005-0000-0000-00001E290000}"/>
    <cellStyle name="Normal 5 2 7 2 2 3 3" xfId="10279" xr:uid="{00000000-0005-0000-0000-00001F290000}"/>
    <cellStyle name="Normal 5 2 7 2 2 4" xfId="5345" xr:uid="{00000000-0005-0000-0000-000020290000}"/>
    <cellStyle name="Normal 5 2 7 2 2 5" xfId="9037" xr:uid="{00000000-0005-0000-0000-000021290000}"/>
    <cellStyle name="Normal 5 2 7 2 3" xfId="2097" xr:uid="{00000000-0005-0000-0000-000022290000}"/>
    <cellStyle name="Normal 5 2 7 2 3 2" xfId="5957" xr:uid="{00000000-0005-0000-0000-000023290000}"/>
    <cellStyle name="Normal 5 2 7 2 3 3" xfId="10873" xr:uid="{00000000-0005-0000-0000-000024290000}"/>
    <cellStyle name="Normal 5 2 7 2 4" xfId="3325" xr:uid="{00000000-0005-0000-0000-000025290000}"/>
    <cellStyle name="Normal 5 2 7 2 4 2" xfId="7181" xr:uid="{00000000-0005-0000-0000-000026290000}"/>
    <cellStyle name="Normal 5 2 7 2 4 3" xfId="9631" xr:uid="{00000000-0005-0000-0000-000027290000}"/>
    <cellStyle name="Normal 5 2 7 2 5" xfId="4733" xr:uid="{00000000-0005-0000-0000-000028290000}"/>
    <cellStyle name="Normal 5 2 7 2 6" xfId="8388" xr:uid="{00000000-0005-0000-0000-000029290000}"/>
    <cellStyle name="Normal 5 2 7 3" xfId="1177" xr:uid="{00000000-0005-0000-0000-00002A290000}"/>
    <cellStyle name="Normal 5 2 7 3 2" xfId="2403" xr:uid="{00000000-0005-0000-0000-00002B290000}"/>
    <cellStyle name="Normal 5 2 7 3 2 2" xfId="6263" xr:uid="{00000000-0005-0000-0000-00002C290000}"/>
    <cellStyle name="Normal 5 2 7 3 2 3" xfId="11215" xr:uid="{00000000-0005-0000-0000-00002D290000}"/>
    <cellStyle name="Normal 5 2 7 3 3" xfId="3631" xr:uid="{00000000-0005-0000-0000-00002E290000}"/>
    <cellStyle name="Normal 5 2 7 3 3 2" xfId="7487" xr:uid="{00000000-0005-0000-0000-00002F290000}"/>
    <cellStyle name="Normal 5 2 7 3 3 3" xfId="9973" xr:uid="{00000000-0005-0000-0000-000030290000}"/>
    <cellStyle name="Normal 5 2 7 3 4" xfId="5039" xr:uid="{00000000-0005-0000-0000-000031290000}"/>
    <cellStyle name="Normal 5 2 7 3 5" xfId="8731" xr:uid="{00000000-0005-0000-0000-000032290000}"/>
    <cellStyle name="Normal 5 2 7 4" xfId="1791" xr:uid="{00000000-0005-0000-0000-000033290000}"/>
    <cellStyle name="Normal 5 2 7 4 2" xfId="5651" xr:uid="{00000000-0005-0000-0000-000034290000}"/>
    <cellStyle name="Normal 5 2 7 4 3" xfId="10585" xr:uid="{00000000-0005-0000-0000-000035290000}"/>
    <cellStyle name="Normal 5 2 7 5" xfId="3018" xr:uid="{00000000-0005-0000-0000-000036290000}"/>
    <cellStyle name="Normal 5 2 7 5 2" xfId="6875" xr:uid="{00000000-0005-0000-0000-000037290000}"/>
    <cellStyle name="Normal 5 2 7 5 3" xfId="12061" xr:uid="{00000000-0005-0000-0000-000038290000}"/>
    <cellStyle name="Normal 5 2 7 6" xfId="4427" xr:uid="{00000000-0005-0000-0000-000039290000}"/>
    <cellStyle name="Normal 5 2 7 6 2" xfId="9343" xr:uid="{00000000-0005-0000-0000-00003A290000}"/>
    <cellStyle name="Normal 5 2 7 7" xfId="8100" xr:uid="{00000000-0005-0000-0000-00003B290000}"/>
    <cellStyle name="Normal 5 2 8" xfId="808" xr:uid="{00000000-0005-0000-0000-00003C290000}"/>
    <cellStyle name="Normal 5 2 8 2" xfId="1447" xr:uid="{00000000-0005-0000-0000-00003D290000}"/>
    <cellStyle name="Normal 5 2 8 2 2" xfId="2673" xr:uid="{00000000-0005-0000-0000-00003E290000}"/>
    <cellStyle name="Normal 5 2 8 2 2 2" xfId="6533" xr:uid="{00000000-0005-0000-0000-00003F290000}"/>
    <cellStyle name="Normal 5 2 8 2 2 3" xfId="11485" xr:uid="{00000000-0005-0000-0000-000040290000}"/>
    <cellStyle name="Normal 5 2 8 2 3" xfId="3901" xr:uid="{00000000-0005-0000-0000-000041290000}"/>
    <cellStyle name="Normal 5 2 8 2 3 2" xfId="7757" xr:uid="{00000000-0005-0000-0000-000042290000}"/>
    <cellStyle name="Normal 5 2 8 2 3 3" xfId="10243" xr:uid="{00000000-0005-0000-0000-000043290000}"/>
    <cellStyle name="Normal 5 2 8 2 4" xfId="5309" xr:uid="{00000000-0005-0000-0000-000044290000}"/>
    <cellStyle name="Normal 5 2 8 2 5" xfId="9001" xr:uid="{00000000-0005-0000-0000-000045290000}"/>
    <cellStyle name="Normal 5 2 8 3" xfId="2061" xr:uid="{00000000-0005-0000-0000-000046290000}"/>
    <cellStyle name="Normal 5 2 8 3 2" xfId="5921" xr:uid="{00000000-0005-0000-0000-000047290000}"/>
    <cellStyle name="Normal 5 2 8 3 3" xfId="10855" xr:uid="{00000000-0005-0000-0000-000048290000}"/>
    <cellStyle name="Normal 5 2 8 4" xfId="3289" xr:uid="{00000000-0005-0000-0000-000049290000}"/>
    <cellStyle name="Normal 5 2 8 4 2" xfId="7145" xr:uid="{00000000-0005-0000-0000-00004A290000}"/>
    <cellStyle name="Normal 5 2 8 4 3" xfId="9613" xr:uid="{00000000-0005-0000-0000-00004B290000}"/>
    <cellStyle name="Normal 5 2 8 5" xfId="4697" xr:uid="{00000000-0005-0000-0000-00004C290000}"/>
    <cellStyle name="Normal 5 2 8 6" xfId="8370" xr:uid="{00000000-0005-0000-0000-00004D290000}"/>
    <cellStyle name="Normal 5 2 9" xfId="1141" xr:uid="{00000000-0005-0000-0000-00004E290000}"/>
    <cellStyle name="Normal 5 2 9 2" xfId="2367" xr:uid="{00000000-0005-0000-0000-00004F290000}"/>
    <cellStyle name="Normal 5 2 9 2 2" xfId="6227" xr:uid="{00000000-0005-0000-0000-000050290000}"/>
    <cellStyle name="Normal 5 2 9 2 3" xfId="11179" xr:uid="{00000000-0005-0000-0000-000051290000}"/>
    <cellStyle name="Normal 5 2 9 3" xfId="3595" xr:uid="{00000000-0005-0000-0000-000052290000}"/>
    <cellStyle name="Normal 5 2 9 3 2" xfId="7451" xr:uid="{00000000-0005-0000-0000-000053290000}"/>
    <cellStyle name="Normal 5 2 9 3 3" xfId="9937" xr:uid="{00000000-0005-0000-0000-000054290000}"/>
    <cellStyle name="Normal 5 2 9 4" xfId="5003" xr:uid="{00000000-0005-0000-0000-000055290000}"/>
    <cellStyle name="Normal 5 2 9 5" xfId="8695" xr:uid="{00000000-0005-0000-0000-000056290000}"/>
    <cellStyle name="Normal 5 27" xfId="273" xr:uid="{00000000-0005-0000-0000-000057290000}"/>
    <cellStyle name="Normal 5 27 2" xfId="4297" xr:uid="{00000000-0005-0000-0000-000058290000}"/>
    <cellStyle name="Normal 5 3" xfId="274" xr:uid="{00000000-0005-0000-0000-000059290000}"/>
    <cellStyle name="Normal 5 3 10" xfId="2999" xr:uid="{00000000-0005-0000-0000-00005A290000}"/>
    <cellStyle name="Normal 5 3 10 2" xfId="6856" xr:uid="{00000000-0005-0000-0000-00005B290000}"/>
    <cellStyle name="Normal 5 3 10 3" xfId="9324" xr:uid="{00000000-0005-0000-0000-00005C290000}"/>
    <cellStyle name="Normal 5 3 11" xfId="8081" xr:uid="{00000000-0005-0000-0000-00005D290000}"/>
    <cellStyle name="Normal 5 3 2" xfId="589" xr:uid="{00000000-0005-0000-0000-00005E290000}"/>
    <cellStyle name="Normal 5 3 2 2" xfId="770" xr:uid="{00000000-0005-0000-0000-00005F290000}"/>
    <cellStyle name="Normal 5 3 2 2 2" xfId="1120" xr:uid="{00000000-0005-0000-0000-000060290000}"/>
    <cellStyle name="Normal 5 3 2 2 2 2" xfId="1734" xr:uid="{00000000-0005-0000-0000-000061290000}"/>
    <cellStyle name="Normal 5 3 2 2 2 2 2" xfId="2960" xr:uid="{00000000-0005-0000-0000-000062290000}"/>
    <cellStyle name="Normal 5 3 2 2 2 2 2 2" xfId="6820" xr:uid="{00000000-0005-0000-0000-000063290000}"/>
    <cellStyle name="Normal 5 3 2 2 2 2 2 3" xfId="11772" xr:uid="{00000000-0005-0000-0000-000064290000}"/>
    <cellStyle name="Normal 5 3 2 2 2 2 3" xfId="4188" xr:uid="{00000000-0005-0000-0000-000065290000}"/>
    <cellStyle name="Normal 5 3 2 2 2 2 3 2" xfId="8044" xr:uid="{00000000-0005-0000-0000-000066290000}"/>
    <cellStyle name="Normal 5 3 2 2 2 2 3 3" xfId="10530" xr:uid="{00000000-0005-0000-0000-000067290000}"/>
    <cellStyle name="Normal 5 3 2 2 2 2 4" xfId="5596" xr:uid="{00000000-0005-0000-0000-000068290000}"/>
    <cellStyle name="Normal 5 3 2 2 2 2 5" xfId="9288" xr:uid="{00000000-0005-0000-0000-000069290000}"/>
    <cellStyle name="Normal 5 3 2 2 2 3" xfId="2348" xr:uid="{00000000-0005-0000-0000-00006A290000}"/>
    <cellStyle name="Normal 5 3 2 2 2 3 2" xfId="6208" xr:uid="{00000000-0005-0000-0000-00006B290000}"/>
    <cellStyle name="Normal 5 3 2 2 2 3 3" xfId="11124" xr:uid="{00000000-0005-0000-0000-00006C290000}"/>
    <cellStyle name="Normal 5 3 2 2 2 4" xfId="3576" xr:uid="{00000000-0005-0000-0000-00006D290000}"/>
    <cellStyle name="Normal 5 3 2 2 2 4 2" xfId="7432" xr:uid="{00000000-0005-0000-0000-00006E290000}"/>
    <cellStyle name="Normal 5 3 2 2 2 4 3" xfId="9882" xr:uid="{00000000-0005-0000-0000-00006F290000}"/>
    <cellStyle name="Normal 5 3 2 2 2 5" xfId="4984" xr:uid="{00000000-0005-0000-0000-000070290000}"/>
    <cellStyle name="Normal 5 3 2 2 2 6" xfId="8639" xr:uid="{00000000-0005-0000-0000-000071290000}"/>
    <cellStyle name="Normal 5 3 2 2 3" xfId="1428" xr:uid="{00000000-0005-0000-0000-000072290000}"/>
    <cellStyle name="Normal 5 3 2 2 3 2" xfId="2654" xr:uid="{00000000-0005-0000-0000-000073290000}"/>
    <cellStyle name="Normal 5 3 2 2 3 2 2" xfId="6514" xr:uid="{00000000-0005-0000-0000-000074290000}"/>
    <cellStyle name="Normal 5 3 2 2 3 2 3" xfId="11466" xr:uid="{00000000-0005-0000-0000-000075290000}"/>
    <cellStyle name="Normal 5 3 2 2 3 3" xfId="3882" xr:uid="{00000000-0005-0000-0000-000076290000}"/>
    <cellStyle name="Normal 5 3 2 2 3 3 2" xfId="7738" xr:uid="{00000000-0005-0000-0000-000077290000}"/>
    <cellStyle name="Normal 5 3 2 2 3 3 3" xfId="10224" xr:uid="{00000000-0005-0000-0000-000078290000}"/>
    <cellStyle name="Normal 5 3 2 2 3 4" xfId="5290" xr:uid="{00000000-0005-0000-0000-000079290000}"/>
    <cellStyle name="Normal 5 3 2 2 3 5" xfId="8982" xr:uid="{00000000-0005-0000-0000-00007A290000}"/>
    <cellStyle name="Normal 5 3 2 2 4" xfId="2042" xr:uid="{00000000-0005-0000-0000-00007B290000}"/>
    <cellStyle name="Normal 5 3 2 2 4 2" xfId="5902" xr:uid="{00000000-0005-0000-0000-00007C290000}"/>
    <cellStyle name="Normal 5 3 2 2 4 3" xfId="10836" xr:uid="{00000000-0005-0000-0000-00007D290000}"/>
    <cellStyle name="Normal 5 3 2 2 5" xfId="3269" xr:uid="{00000000-0005-0000-0000-00007E290000}"/>
    <cellStyle name="Normal 5 3 2 2 5 2" xfId="7126" xr:uid="{00000000-0005-0000-0000-00007F290000}"/>
    <cellStyle name="Normal 5 3 2 2 5 3" xfId="12042" xr:uid="{00000000-0005-0000-0000-000080290000}"/>
    <cellStyle name="Normal 5 3 2 2 6" xfId="4678" xr:uid="{00000000-0005-0000-0000-000081290000}"/>
    <cellStyle name="Normal 5 3 2 2 6 2" xfId="9594" xr:uid="{00000000-0005-0000-0000-000082290000}"/>
    <cellStyle name="Normal 5 3 2 2 7" xfId="8351" xr:uid="{00000000-0005-0000-0000-000083290000}"/>
    <cellStyle name="Normal 5 3 2 3" xfId="680" xr:uid="{00000000-0005-0000-0000-000084290000}"/>
    <cellStyle name="Normal 5 3 2 3 2" xfId="1030" xr:uid="{00000000-0005-0000-0000-000085290000}"/>
    <cellStyle name="Normal 5 3 2 3 2 2" xfId="1644" xr:uid="{00000000-0005-0000-0000-000086290000}"/>
    <cellStyle name="Normal 5 3 2 3 2 2 2" xfId="2870" xr:uid="{00000000-0005-0000-0000-000087290000}"/>
    <cellStyle name="Normal 5 3 2 3 2 2 2 2" xfId="6730" xr:uid="{00000000-0005-0000-0000-000088290000}"/>
    <cellStyle name="Normal 5 3 2 3 2 2 2 3" xfId="11682" xr:uid="{00000000-0005-0000-0000-000089290000}"/>
    <cellStyle name="Normal 5 3 2 3 2 2 3" xfId="4098" xr:uid="{00000000-0005-0000-0000-00008A290000}"/>
    <cellStyle name="Normal 5 3 2 3 2 2 3 2" xfId="7954" xr:uid="{00000000-0005-0000-0000-00008B290000}"/>
    <cellStyle name="Normal 5 3 2 3 2 2 3 3" xfId="10440" xr:uid="{00000000-0005-0000-0000-00008C290000}"/>
    <cellStyle name="Normal 5 3 2 3 2 2 4" xfId="5506" xr:uid="{00000000-0005-0000-0000-00008D290000}"/>
    <cellStyle name="Normal 5 3 2 3 2 2 5" xfId="9198" xr:uid="{00000000-0005-0000-0000-00008E290000}"/>
    <cellStyle name="Normal 5 3 2 3 2 3" xfId="2258" xr:uid="{00000000-0005-0000-0000-00008F290000}"/>
    <cellStyle name="Normal 5 3 2 3 2 3 2" xfId="6118" xr:uid="{00000000-0005-0000-0000-000090290000}"/>
    <cellStyle name="Normal 5 3 2 3 2 3 3" xfId="11034" xr:uid="{00000000-0005-0000-0000-000091290000}"/>
    <cellStyle name="Normal 5 3 2 3 2 4" xfId="3486" xr:uid="{00000000-0005-0000-0000-000092290000}"/>
    <cellStyle name="Normal 5 3 2 3 2 4 2" xfId="7342" xr:uid="{00000000-0005-0000-0000-000093290000}"/>
    <cellStyle name="Normal 5 3 2 3 2 4 3" xfId="9792" xr:uid="{00000000-0005-0000-0000-000094290000}"/>
    <cellStyle name="Normal 5 3 2 3 2 5" xfId="4894" xr:uid="{00000000-0005-0000-0000-000095290000}"/>
    <cellStyle name="Normal 5 3 2 3 2 6" xfId="8549" xr:uid="{00000000-0005-0000-0000-000096290000}"/>
    <cellStyle name="Normal 5 3 2 3 3" xfId="1338" xr:uid="{00000000-0005-0000-0000-000097290000}"/>
    <cellStyle name="Normal 5 3 2 3 3 2" xfId="2564" xr:uid="{00000000-0005-0000-0000-000098290000}"/>
    <cellStyle name="Normal 5 3 2 3 3 2 2" xfId="6424" xr:uid="{00000000-0005-0000-0000-000099290000}"/>
    <cellStyle name="Normal 5 3 2 3 3 2 3" xfId="11376" xr:uid="{00000000-0005-0000-0000-00009A290000}"/>
    <cellStyle name="Normal 5 3 2 3 3 3" xfId="3792" xr:uid="{00000000-0005-0000-0000-00009B290000}"/>
    <cellStyle name="Normal 5 3 2 3 3 3 2" xfId="7648" xr:uid="{00000000-0005-0000-0000-00009C290000}"/>
    <cellStyle name="Normal 5 3 2 3 3 3 3" xfId="10134" xr:uid="{00000000-0005-0000-0000-00009D290000}"/>
    <cellStyle name="Normal 5 3 2 3 3 4" xfId="5200" xr:uid="{00000000-0005-0000-0000-00009E290000}"/>
    <cellStyle name="Normal 5 3 2 3 3 5" xfId="8892" xr:uid="{00000000-0005-0000-0000-00009F290000}"/>
    <cellStyle name="Normal 5 3 2 3 4" xfId="1952" xr:uid="{00000000-0005-0000-0000-0000A0290000}"/>
    <cellStyle name="Normal 5 3 2 3 4 2" xfId="5812" xr:uid="{00000000-0005-0000-0000-0000A1290000}"/>
    <cellStyle name="Normal 5 3 2 3 4 3" xfId="10746" xr:uid="{00000000-0005-0000-0000-0000A2290000}"/>
    <cellStyle name="Normal 5 3 2 3 5" xfId="3179" xr:uid="{00000000-0005-0000-0000-0000A3290000}"/>
    <cellStyle name="Normal 5 3 2 3 5 2" xfId="7036" xr:uid="{00000000-0005-0000-0000-0000A4290000}"/>
    <cellStyle name="Normal 5 3 2 3 5 3" xfId="11952" xr:uid="{00000000-0005-0000-0000-0000A5290000}"/>
    <cellStyle name="Normal 5 3 2 3 6" xfId="4588" xr:uid="{00000000-0005-0000-0000-0000A6290000}"/>
    <cellStyle name="Normal 5 3 2 3 6 2" xfId="9504" xr:uid="{00000000-0005-0000-0000-0000A7290000}"/>
    <cellStyle name="Normal 5 3 2 3 7" xfId="8261" xr:uid="{00000000-0005-0000-0000-0000A8290000}"/>
    <cellStyle name="Normal 5 3 2 4" xfId="939" xr:uid="{00000000-0005-0000-0000-0000A9290000}"/>
    <cellStyle name="Normal 5 3 2 4 2" xfId="1554" xr:uid="{00000000-0005-0000-0000-0000AA290000}"/>
    <cellStyle name="Normal 5 3 2 4 2 2" xfId="2780" xr:uid="{00000000-0005-0000-0000-0000AB290000}"/>
    <cellStyle name="Normal 5 3 2 4 2 2 2" xfId="6640" xr:uid="{00000000-0005-0000-0000-0000AC290000}"/>
    <cellStyle name="Normal 5 3 2 4 2 2 3" xfId="11592" xr:uid="{00000000-0005-0000-0000-0000AD290000}"/>
    <cellStyle name="Normal 5 3 2 4 2 3" xfId="4008" xr:uid="{00000000-0005-0000-0000-0000AE290000}"/>
    <cellStyle name="Normal 5 3 2 4 2 3 2" xfId="7864" xr:uid="{00000000-0005-0000-0000-0000AF290000}"/>
    <cellStyle name="Normal 5 3 2 4 2 3 3" xfId="10350" xr:uid="{00000000-0005-0000-0000-0000B0290000}"/>
    <cellStyle name="Normal 5 3 2 4 2 4" xfId="5416" xr:uid="{00000000-0005-0000-0000-0000B1290000}"/>
    <cellStyle name="Normal 5 3 2 4 2 5" xfId="9108" xr:uid="{00000000-0005-0000-0000-0000B2290000}"/>
    <cellStyle name="Normal 5 3 2 4 3" xfId="2168" xr:uid="{00000000-0005-0000-0000-0000B3290000}"/>
    <cellStyle name="Normal 5 3 2 4 3 2" xfId="6028" xr:uid="{00000000-0005-0000-0000-0000B4290000}"/>
    <cellStyle name="Normal 5 3 2 4 3 3" xfId="10944" xr:uid="{00000000-0005-0000-0000-0000B5290000}"/>
    <cellStyle name="Normal 5 3 2 4 4" xfId="3396" xr:uid="{00000000-0005-0000-0000-0000B6290000}"/>
    <cellStyle name="Normal 5 3 2 4 4 2" xfId="7252" xr:uid="{00000000-0005-0000-0000-0000B7290000}"/>
    <cellStyle name="Normal 5 3 2 4 4 3" xfId="9702" xr:uid="{00000000-0005-0000-0000-0000B8290000}"/>
    <cellStyle name="Normal 5 3 2 4 5" xfId="4804" xr:uid="{00000000-0005-0000-0000-0000B9290000}"/>
    <cellStyle name="Normal 5 3 2 4 6" xfId="8459" xr:uid="{00000000-0005-0000-0000-0000BA290000}"/>
    <cellStyle name="Normal 5 3 2 5" xfId="1248" xr:uid="{00000000-0005-0000-0000-0000BB290000}"/>
    <cellStyle name="Normal 5 3 2 5 2" xfId="2474" xr:uid="{00000000-0005-0000-0000-0000BC290000}"/>
    <cellStyle name="Normal 5 3 2 5 2 2" xfId="6334" xr:uid="{00000000-0005-0000-0000-0000BD290000}"/>
    <cellStyle name="Normal 5 3 2 5 2 3" xfId="11286" xr:uid="{00000000-0005-0000-0000-0000BE290000}"/>
    <cellStyle name="Normal 5 3 2 5 3" xfId="3702" xr:uid="{00000000-0005-0000-0000-0000BF290000}"/>
    <cellStyle name="Normal 5 3 2 5 3 2" xfId="7558" xr:uid="{00000000-0005-0000-0000-0000C0290000}"/>
    <cellStyle name="Normal 5 3 2 5 3 3" xfId="10044" xr:uid="{00000000-0005-0000-0000-0000C1290000}"/>
    <cellStyle name="Normal 5 3 2 5 4" xfId="5110" xr:uid="{00000000-0005-0000-0000-0000C2290000}"/>
    <cellStyle name="Normal 5 3 2 5 5" xfId="8802" xr:uid="{00000000-0005-0000-0000-0000C3290000}"/>
    <cellStyle name="Normal 5 3 2 6" xfId="1862" xr:uid="{00000000-0005-0000-0000-0000C4290000}"/>
    <cellStyle name="Normal 5 3 2 6 2" xfId="5722" xr:uid="{00000000-0005-0000-0000-0000C5290000}"/>
    <cellStyle name="Normal 5 3 2 6 3" xfId="10656" xr:uid="{00000000-0005-0000-0000-0000C6290000}"/>
    <cellStyle name="Normal 5 3 2 7" xfId="3089" xr:uid="{00000000-0005-0000-0000-0000C7290000}"/>
    <cellStyle name="Normal 5 3 2 7 2" xfId="6946" xr:uid="{00000000-0005-0000-0000-0000C8290000}"/>
    <cellStyle name="Normal 5 3 2 7 3" xfId="11862" xr:uid="{00000000-0005-0000-0000-0000C9290000}"/>
    <cellStyle name="Normal 5 3 2 8" xfId="4498" xr:uid="{00000000-0005-0000-0000-0000CA290000}"/>
    <cellStyle name="Normal 5 3 2 8 2" xfId="9414" xr:uid="{00000000-0005-0000-0000-0000CB290000}"/>
    <cellStyle name="Normal 5 3 2 9" xfId="8171" xr:uid="{00000000-0005-0000-0000-0000CC290000}"/>
    <cellStyle name="Normal 5 3 3" xfId="734" xr:uid="{00000000-0005-0000-0000-0000CD290000}"/>
    <cellStyle name="Normal 5 3 3 2" xfId="1084" xr:uid="{00000000-0005-0000-0000-0000CE290000}"/>
    <cellStyle name="Normal 5 3 3 2 2" xfId="1698" xr:uid="{00000000-0005-0000-0000-0000CF290000}"/>
    <cellStyle name="Normal 5 3 3 2 2 2" xfId="2924" xr:uid="{00000000-0005-0000-0000-0000D0290000}"/>
    <cellStyle name="Normal 5 3 3 2 2 2 2" xfId="6784" xr:uid="{00000000-0005-0000-0000-0000D1290000}"/>
    <cellStyle name="Normal 5 3 3 2 2 2 3" xfId="11736" xr:uid="{00000000-0005-0000-0000-0000D2290000}"/>
    <cellStyle name="Normal 5 3 3 2 2 3" xfId="4152" xr:uid="{00000000-0005-0000-0000-0000D3290000}"/>
    <cellStyle name="Normal 5 3 3 2 2 3 2" xfId="8008" xr:uid="{00000000-0005-0000-0000-0000D4290000}"/>
    <cellStyle name="Normal 5 3 3 2 2 3 3" xfId="10494" xr:uid="{00000000-0005-0000-0000-0000D5290000}"/>
    <cellStyle name="Normal 5 3 3 2 2 4" xfId="5560" xr:uid="{00000000-0005-0000-0000-0000D6290000}"/>
    <cellStyle name="Normal 5 3 3 2 2 5" xfId="9252" xr:uid="{00000000-0005-0000-0000-0000D7290000}"/>
    <cellStyle name="Normal 5 3 3 2 3" xfId="2312" xr:uid="{00000000-0005-0000-0000-0000D8290000}"/>
    <cellStyle name="Normal 5 3 3 2 3 2" xfId="6172" xr:uid="{00000000-0005-0000-0000-0000D9290000}"/>
    <cellStyle name="Normal 5 3 3 2 3 3" xfId="11088" xr:uid="{00000000-0005-0000-0000-0000DA290000}"/>
    <cellStyle name="Normal 5 3 3 2 4" xfId="3540" xr:uid="{00000000-0005-0000-0000-0000DB290000}"/>
    <cellStyle name="Normal 5 3 3 2 4 2" xfId="7396" xr:uid="{00000000-0005-0000-0000-0000DC290000}"/>
    <cellStyle name="Normal 5 3 3 2 4 3" xfId="9846" xr:uid="{00000000-0005-0000-0000-0000DD290000}"/>
    <cellStyle name="Normal 5 3 3 2 5" xfId="4948" xr:uid="{00000000-0005-0000-0000-0000DE290000}"/>
    <cellStyle name="Normal 5 3 3 2 6" xfId="8603" xr:uid="{00000000-0005-0000-0000-0000DF290000}"/>
    <cellStyle name="Normal 5 3 3 3" xfId="1392" xr:uid="{00000000-0005-0000-0000-0000E0290000}"/>
    <cellStyle name="Normal 5 3 3 3 2" xfId="2618" xr:uid="{00000000-0005-0000-0000-0000E1290000}"/>
    <cellStyle name="Normal 5 3 3 3 2 2" xfId="6478" xr:uid="{00000000-0005-0000-0000-0000E2290000}"/>
    <cellStyle name="Normal 5 3 3 3 2 3" xfId="11430" xr:uid="{00000000-0005-0000-0000-0000E3290000}"/>
    <cellStyle name="Normal 5 3 3 3 3" xfId="3846" xr:uid="{00000000-0005-0000-0000-0000E4290000}"/>
    <cellStyle name="Normal 5 3 3 3 3 2" xfId="7702" xr:uid="{00000000-0005-0000-0000-0000E5290000}"/>
    <cellStyle name="Normal 5 3 3 3 3 3" xfId="10188" xr:uid="{00000000-0005-0000-0000-0000E6290000}"/>
    <cellStyle name="Normal 5 3 3 3 4" xfId="5254" xr:uid="{00000000-0005-0000-0000-0000E7290000}"/>
    <cellStyle name="Normal 5 3 3 3 5" xfId="8946" xr:uid="{00000000-0005-0000-0000-0000E8290000}"/>
    <cellStyle name="Normal 5 3 3 4" xfId="2006" xr:uid="{00000000-0005-0000-0000-0000E9290000}"/>
    <cellStyle name="Normal 5 3 3 4 2" xfId="5866" xr:uid="{00000000-0005-0000-0000-0000EA290000}"/>
    <cellStyle name="Normal 5 3 3 4 3" xfId="10800" xr:uid="{00000000-0005-0000-0000-0000EB290000}"/>
    <cellStyle name="Normal 5 3 3 5" xfId="3233" xr:uid="{00000000-0005-0000-0000-0000EC290000}"/>
    <cellStyle name="Normal 5 3 3 5 2" xfId="7090" xr:uid="{00000000-0005-0000-0000-0000ED290000}"/>
    <cellStyle name="Normal 5 3 3 5 3" xfId="12006" xr:uid="{00000000-0005-0000-0000-0000EE290000}"/>
    <cellStyle name="Normal 5 3 3 6" xfId="4642" xr:uid="{00000000-0005-0000-0000-0000EF290000}"/>
    <cellStyle name="Normal 5 3 3 6 2" xfId="9558" xr:uid="{00000000-0005-0000-0000-0000F0290000}"/>
    <cellStyle name="Normal 5 3 3 7" xfId="8315" xr:uid="{00000000-0005-0000-0000-0000F1290000}"/>
    <cellStyle name="Normal 5 3 4" xfId="644" xr:uid="{00000000-0005-0000-0000-0000F2290000}"/>
    <cellStyle name="Normal 5 3 4 2" xfId="994" xr:uid="{00000000-0005-0000-0000-0000F3290000}"/>
    <cellStyle name="Normal 5 3 4 2 2" xfId="1608" xr:uid="{00000000-0005-0000-0000-0000F4290000}"/>
    <cellStyle name="Normal 5 3 4 2 2 2" xfId="2834" xr:uid="{00000000-0005-0000-0000-0000F5290000}"/>
    <cellStyle name="Normal 5 3 4 2 2 2 2" xfId="6694" xr:uid="{00000000-0005-0000-0000-0000F6290000}"/>
    <cellStyle name="Normal 5 3 4 2 2 2 3" xfId="11646" xr:uid="{00000000-0005-0000-0000-0000F7290000}"/>
    <cellStyle name="Normal 5 3 4 2 2 3" xfId="4062" xr:uid="{00000000-0005-0000-0000-0000F8290000}"/>
    <cellStyle name="Normal 5 3 4 2 2 3 2" xfId="7918" xr:uid="{00000000-0005-0000-0000-0000F9290000}"/>
    <cellStyle name="Normal 5 3 4 2 2 3 3" xfId="10404" xr:uid="{00000000-0005-0000-0000-0000FA290000}"/>
    <cellStyle name="Normal 5 3 4 2 2 4" xfId="5470" xr:uid="{00000000-0005-0000-0000-0000FB290000}"/>
    <cellStyle name="Normal 5 3 4 2 2 5" xfId="9162" xr:uid="{00000000-0005-0000-0000-0000FC290000}"/>
    <cellStyle name="Normal 5 3 4 2 3" xfId="2222" xr:uid="{00000000-0005-0000-0000-0000FD290000}"/>
    <cellStyle name="Normal 5 3 4 2 3 2" xfId="6082" xr:uid="{00000000-0005-0000-0000-0000FE290000}"/>
    <cellStyle name="Normal 5 3 4 2 3 3" xfId="10998" xr:uid="{00000000-0005-0000-0000-0000FF290000}"/>
    <cellStyle name="Normal 5 3 4 2 4" xfId="3450" xr:uid="{00000000-0005-0000-0000-0000002A0000}"/>
    <cellStyle name="Normal 5 3 4 2 4 2" xfId="7306" xr:uid="{00000000-0005-0000-0000-0000012A0000}"/>
    <cellStyle name="Normal 5 3 4 2 4 3" xfId="9756" xr:uid="{00000000-0005-0000-0000-0000022A0000}"/>
    <cellStyle name="Normal 5 3 4 2 5" xfId="4858" xr:uid="{00000000-0005-0000-0000-0000032A0000}"/>
    <cellStyle name="Normal 5 3 4 2 6" xfId="8513" xr:uid="{00000000-0005-0000-0000-0000042A0000}"/>
    <cellStyle name="Normal 5 3 4 3" xfId="1302" xr:uid="{00000000-0005-0000-0000-0000052A0000}"/>
    <cellStyle name="Normal 5 3 4 3 2" xfId="2528" xr:uid="{00000000-0005-0000-0000-0000062A0000}"/>
    <cellStyle name="Normal 5 3 4 3 2 2" xfId="6388" xr:uid="{00000000-0005-0000-0000-0000072A0000}"/>
    <cellStyle name="Normal 5 3 4 3 2 3" xfId="11340" xr:uid="{00000000-0005-0000-0000-0000082A0000}"/>
    <cellStyle name="Normal 5 3 4 3 3" xfId="3756" xr:uid="{00000000-0005-0000-0000-0000092A0000}"/>
    <cellStyle name="Normal 5 3 4 3 3 2" xfId="7612" xr:uid="{00000000-0005-0000-0000-00000A2A0000}"/>
    <cellStyle name="Normal 5 3 4 3 3 3" xfId="10098" xr:uid="{00000000-0005-0000-0000-00000B2A0000}"/>
    <cellStyle name="Normal 5 3 4 3 4" xfId="5164" xr:uid="{00000000-0005-0000-0000-00000C2A0000}"/>
    <cellStyle name="Normal 5 3 4 3 5" xfId="8856" xr:uid="{00000000-0005-0000-0000-00000D2A0000}"/>
    <cellStyle name="Normal 5 3 4 4" xfId="1916" xr:uid="{00000000-0005-0000-0000-00000E2A0000}"/>
    <cellStyle name="Normal 5 3 4 4 2" xfId="5776" xr:uid="{00000000-0005-0000-0000-00000F2A0000}"/>
    <cellStyle name="Normal 5 3 4 4 3" xfId="10710" xr:uid="{00000000-0005-0000-0000-0000102A0000}"/>
    <cellStyle name="Normal 5 3 4 5" xfId="3143" xr:uid="{00000000-0005-0000-0000-0000112A0000}"/>
    <cellStyle name="Normal 5 3 4 5 2" xfId="7000" xr:uid="{00000000-0005-0000-0000-0000122A0000}"/>
    <cellStyle name="Normal 5 3 4 5 3" xfId="11916" xr:uid="{00000000-0005-0000-0000-0000132A0000}"/>
    <cellStyle name="Normal 5 3 4 6" xfId="4552" xr:uid="{00000000-0005-0000-0000-0000142A0000}"/>
    <cellStyle name="Normal 5 3 4 6 2" xfId="9468" xr:uid="{00000000-0005-0000-0000-0000152A0000}"/>
    <cellStyle name="Normal 5 3 4 7" xfId="8225" xr:uid="{00000000-0005-0000-0000-0000162A0000}"/>
    <cellStyle name="Normal 5 3 5" xfId="551" xr:uid="{00000000-0005-0000-0000-0000172A0000}"/>
    <cellStyle name="Normal 5 3 5 2" xfId="901" xr:uid="{00000000-0005-0000-0000-0000182A0000}"/>
    <cellStyle name="Normal 5 3 5 2 2" xfId="1518" xr:uid="{00000000-0005-0000-0000-0000192A0000}"/>
    <cellStyle name="Normal 5 3 5 2 2 2" xfId="2744" xr:uid="{00000000-0005-0000-0000-00001A2A0000}"/>
    <cellStyle name="Normal 5 3 5 2 2 2 2" xfId="6604" xr:uid="{00000000-0005-0000-0000-00001B2A0000}"/>
    <cellStyle name="Normal 5 3 5 2 2 2 3" xfId="11556" xr:uid="{00000000-0005-0000-0000-00001C2A0000}"/>
    <cellStyle name="Normal 5 3 5 2 2 3" xfId="3972" xr:uid="{00000000-0005-0000-0000-00001D2A0000}"/>
    <cellStyle name="Normal 5 3 5 2 2 3 2" xfId="7828" xr:uid="{00000000-0005-0000-0000-00001E2A0000}"/>
    <cellStyle name="Normal 5 3 5 2 2 3 3" xfId="10314" xr:uid="{00000000-0005-0000-0000-00001F2A0000}"/>
    <cellStyle name="Normal 5 3 5 2 2 4" xfId="5380" xr:uid="{00000000-0005-0000-0000-0000202A0000}"/>
    <cellStyle name="Normal 5 3 5 2 2 5" xfId="9072" xr:uid="{00000000-0005-0000-0000-0000212A0000}"/>
    <cellStyle name="Normal 5 3 5 2 3" xfId="2132" xr:uid="{00000000-0005-0000-0000-0000222A0000}"/>
    <cellStyle name="Normal 5 3 5 2 3 2" xfId="5992" xr:uid="{00000000-0005-0000-0000-0000232A0000}"/>
    <cellStyle name="Normal 5 3 5 2 3 3" xfId="11160" xr:uid="{00000000-0005-0000-0000-0000242A0000}"/>
    <cellStyle name="Normal 5 3 5 2 4" xfId="3360" xr:uid="{00000000-0005-0000-0000-0000252A0000}"/>
    <cellStyle name="Normal 5 3 5 2 4 2" xfId="7216" xr:uid="{00000000-0005-0000-0000-0000262A0000}"/>
    <cellStyle name="Normal 5 3 5 2 4 3" xfId="9918" xr:uid="{00000000-0005-0000-0000-0000272A0000}"/>
    <cellStyle name="Normal 5 3 5 2 5" xfId="4768" xr:uid="{00000000-0005-0000-0000-0000282A0000}"/>
    <cellStyle name="Normal 5 3 5 2 6" xfId="8676" xr:uid="{00000000-0005-0000-0000-0000292A0000}"/>
    <cellStyle name="Normal 5 3 5 3" xfId="1212" xr:uid="{00000000-0005-0000-0000-00002A2A0000}"/>
    <cellStyle name="Normal 5 3 5 3 2" xfId="2438" xr:uid="{00000000-0005-0000-0000-00002B2A0000}"/>
    <cellStyle name="Normal 5 3 5 3 2 2" xfId="6298" xr:uid="{00000000-0005-0000-0000-00002C2A0000}"/>
    <cellStyle name="Normal 5 3 5 3 2 3" xfId="11250" xr:uid="{00000000-0005-0000-0000-00002D2A0000}"/>
    <cellStyle name="Normal 5 3 5 3 3" xfId="3666" xr:uid="{00000000-0005-0000-0000-00002E2A0000}"/>
    <cellStyle name="Normal 5 3 5 3 3 2" xfId="7522" xr:uid="{00000000-0005-0000-0000-00002F2A0000}"/>
    <cellStyle name="Normal 5 3 5 3 3 3" xfId="10008" xr:uid="{00000000-0005-0000-0000-0000302A0000}"/>
    <cellStyle name="Normal 5 3 5 3 4" xfId="5074" xr:uid="{00000000-0005-0000-0000-0000312A0000}"/>
    <cellStyle name="Normal 5 3 5 3 5" xfId="8766" xr:uid="{00000000-0005-0000-0000-0000322A0000}"/>
    <cellStyle name="Normal 5 3 5 4" xfId="1826" xr:uid="{00000000-0005-0000-0000-0000332A0000}"/>
    <cellStyle name="Normal 5 3 5 4 2" xfId="5686" xr:uid="{00000000-0005-0000-0000-0000342A0000}"/>
    <cellStyle name="Normal 5 3 5 4 2 2" xfId="11142" xr:uid="{00000000-0005-0000-0000-0000352A0000}"/>
    <cellStyle name="Normal 5 3 5 4 3" xfId="9900" xr:uid="{00000000-0005-0000-0000-0000362A0000}"/>
    <cellStyle name="Normal 5 3 5 4 4" xfId="8657" xr:uid="{00000000-0005-0000-0000-0000372A0000}"/>
    <cellStyle name="Normal 5 3 5 5" xfId="3053" xr:uid="{00000000-0005-0000-0000-0000382A0000}"/>
    <cellStyle name="Normal 5 3 5 5 2" xfId="6910" xr:uid="{00000000-0005-0000-0000-0000392A0000}"/>
    <cellStyle name="Normal 5 3 5 5 3" xfId="10620" xr:uid="{00000000-0005-0000-0000-00003A2A0000}"/>
    <cellStyle name="Normal 5 3 5 6" xfId="4462" xr:uid="{00000000-0005-0000-0000-00003B2A0000}"/>
    <cellStyle name="Normal 5 3 5 6 2" xfId="9378" xr:uid="{00000000-0005-0000-0000-00003C2A0000}"/>
    <cellStyle name="Normal 5 3 5 7" xfId="8135" xr:uid="{00000000-0005-0000-0000-00003D2A0000}"/>
    <cellStyle name="Normal 5 3 6" xfId="826" xr:uid="{00000000-0005-0000-0000-00003E2A0000}"/>
    <cellStyle name="Normal 5 3 6 2" xfId="1464" xr:uid="{00000000-0005-0000-0000-00003F2A0000}"/>
    <cellStyle name="Normal 5 3 6 2 2" xfId="2690" xr:uid="{00000000-0005-0000-0000-0000402A0000}"/>
    <cellStyle name="Normal 5 3 6 2 2 2" xfId="6550" xr:uid="{00000000-0005-0000-0000-0000412A0000}"/>
    <cellStyle name="Normal 5 3 6 2 2 3" xfId="11502" xr:uid="{00000000-0005-0000-0000-0000422A0000}"/>
    <cellStyle name="Normal 5 3 6 2 3" xfId="3918" xr:uid="{00000000-0005-0000-0000-0000432A0000}"/>
    <cellStyle name="Normal 5 3 6 2 3 2" xfId="7774" xr:uid="{00000000-0005-0000-0000-0000442A0000}"/>
    <cellStyle name="Normal 5 3 6 2 3 3" xfId="10260" xr:uid="{00000000-0005-0000-0000-0000452A0000}"/>
    <cellStyle name="Normal 5 3 6 2 4" xfId="5326" xr:uid="{00000000-0005-0000-0000-0000462A0000}"/>
    <cellStyle name="Normal 5 3 6 2 5" xfId="9018" xr:uid="{00000000-0005-0000-0000-0000472A0000}"/>
    <cellStyle name="Normal 5 3 6 3" xfId="2078" xr:uid="{00000000-0005-0000-0000-0000482A0000}"/>
    <cellStyle name="Normal 5 3 6 3 2" xfId="5938" xr:uid="{00000000-0005-0000-0000-0000492A0000}"/>
    <cellStyle name="Normal 5 3 6 3 3" xfId="10908" xr:uid="{00000000-0005-0000-0000-00004A2A0000}"/>
    <cellStyle name="Normal 5 3 6 4" xfId="3306" xr:uid="{00000000-0005-0000-0000-00004B2A0000}"/>
    <cellStyle name="Normal 5 3 6 4 2" xfId="7162" xr:uid="{00000000-0005-0000-0000-00004C2A0000}"/>
    <cellStyle name="Normal 5 3 6 4 3" xfId="9666" xr:uid="{00000000-0005-0000-0000-00004D2A0000}"/>
    <cellStyle name="Normal 5 3 6 5" xfId="4714" xr:uid="{00000000-0005-0000-0000-00004E2A0000}"/>
    <cellStyle name="Normal 5 3 6 6" xfId="8423" xr:uid="{00000000-0005-0000-0000-00004F2A0000}"/>
    <cellStyle name="Normal 5 3 7" xfId="1158" xr:uid="{00000000-0005-0000-0000-0000502A0000}"/>
    <cellStyle name="Normal 5 3 7 2" xfId="2384" xr:uid="{00000000-0005-0000-0000-0000512A0000}"/>
    <cellStyle name="Normal 5 3 7 2 2" xfId="6244" xr:uid="{00000000-0005-0000-0000-0000522A0000}"/>
    <cellStyle name="Normal 5 3 7 2 3" xfId="11196" xr:uid="{00000000-0005-0000-0000-0000532A0000}"/>
    <cellStyle name="Normal 5 3 7 3" xfId="3612" xr:uid="{00000000-0005-0000-0000-0000542A0000}"/>
    <cellStyle name="Normal 5 3 7 3 2" xfId="7468" xr:uid="{00000000-0005-0000-0000-0000552A0000}"/>
    <cellStyle name="Normal 5 3 7 3 3" xfId="9954" xr:uid="{00000000-0005-0000-0000-0000562A0000}"/>
    <cellStyle name="Normal 5 3 7 4" xfId="5020" xr:uid="{00000000-0005-0000-0000-0000572A0000}"/>
    <cellStyle name="Normal 5 3 7 5" xfId="8712" xr:uid="{00000000-0005-0000-0000-0000582A0000}"/>
    <cellStyle name="Normal 5 3 8" xfId="476" xr:uid="{00000000-0005-0000-0000-0000592A0000}"/>
    <cellStyle name="Normal 5 3 8 2" xfId="4408" xr:uid="{00000000-0005-0000-0000-00005A2A0000}"/>
    <cellStyle name="Normal 5 3 8 3" xfId="10566" xr:uid="{00000000-0005-0000-0000-00005B2A0000}"/>
    <cellStyle name="Normal 5 3 9" xfId="1772" xr:uid="{00000000-0005-0000-0000-00005C2A0000}"/>
    <cellStyle name="Normal 5 3 9 2" xfId="5632" xr:uid="{00000000-0005-0000-0000-00005D2A0000}"/>
    <cellStyle name="Normal 5 3 9 3" xfId="11826" xr:uid="{00000000-0005-0000-0000-00005E2A0000}"/>
    <cellStyle name="Normal 5 4" xfId="275" xr:uid="{00000000-0005-0000-0000-00005F2A0000}"/>
    <cellStyle name="Normal 5 4 2" xfId="752" xr:uid="{00000000-0005-0000-0000-0000602A0000}"/>
    <cellStyle name="Normal 5 4 2 2" xfId="1102" xr:uid="{00000000-0005-0000-0000-0000612A0000}"/>
    <cellStyle name="Normal 5 4 2 2 2" xfId="1716" xr:uid="{00000000-0005-0000-0000-0000622A0000}"/>
    <cellStyle name="Normal 5 4 2 2 2 2" xfId="2942" xr:uid="{00000000-0005-0000-0000-0000632A0000}"/>
    <cellStyle name="Normal 5 4 2 2 2 2 2" xfId="6802" xr:uid="{00000000-0005-0000-0000-0000642A0000}"/>
    <cellStyle name="Normal 5 4 2 2 2 2 3" xfId="11754" xr:uid="{00000000-0005-0000-0000-0000652A0000}"/>
    <cellStyle name="Normal 5 4 2 2 2 3" xfId="4170" xr:uid="{00000000-0005-0000-0000-0000662A0000}"/>
    <cellStyle name="Normal 5 4 2 2 2 3 2" xfId="8026" xr:uid="{00000000-0005-0000-0000-0000672A0000}"/>
    <cellStyle name="Normal 5 4 2 2 2 3 3" xfId="10512" xr:uid="{00000000-0005-0000-0000-0000682A0000}"/>
    <cellStyle name="Normal 5 4 2 2 2 4" xfId="5578" xr:uid="{00000000-0005-0000-0000-0000692A0000}"/>
    <cellStyle name="Normal 5 4 2 2 2 5" xfId="9270" xr:uid="{00000000-0005-0000-0000-00006A2A0000}"/>
    <cellStyle name="Normal 5 4 2 2 3" xfId="2330" xr:uid="{00000000-0005-0000-0000-00006B2A0000}"/>
    <cellStyle name="Normal 5 4 2 2 3 2" xfId="6190" xr:uid="{00000000-0005-0000-0000-00006C2A0000}"/>
    <cellStyle name="Normal 5 4 2 2 3 3" xfId="11106" xr:uid="{00000000-0005-0000-0000-00006D2A0000}"/>
    <cellStyle name="Normal 5 4 2 2 4" xfId="3558" xr:uid="{00000000-0005-0000-0000-00006E2A0000}"/>
    <cellStyle name="Normal 5 4 2 2 4 2" xfId="7414" xr:uid="{00000000-0005-0000-0000-00006F2A0000}"/>
    <cellStyle name="Normal 5 4 2 2 4 3" xfId="9864" xr:uid="{00000000-0005-0000-0000-0000702A0000}"/>
    <cellStyle name="Normal 5 4 2 2 5" xfId="4966" xr:uid="{00000000-0005-0000-0000-0000712A0000}"/>
    <cellStyle name="Normal 5 4 2 2 6" xfId="8621" xr:uid="{00000000-0005-0000-0000-0000722A0000}"/>
    <cellStyle name="Normal 5 4 2 3" xfId="1410" xr:uid="{00000000-0005-0000-0000-0000732A0000}"/>
    <cellStyle name="Normal 5 4 2 3 2" xfId="2636" xr:uid="{00000000-0005-0000-0000-0000742A0000}"/>
    <cellStyle name="Normal 5 4 2 3 2 2" xfId="6496" xr:uid="{00000000-0005-0000-0000-0000752A0000}"/>
    <cellStyle name="Normal 5 4 2 3 2 3" xfId="11448" xr:uid="{00000000-0005-0000-0000-0000762A0000}"/>
    <cellStyle name="Normal 5 4 2 3 3" xfId="3864" xr:uid="{00000000-0005-0000-0000-0000772A0000}"/>
    <cellStyle name="Normal 5 4 2 3 3 2" xfId="7720" xr:uid="{00000000-0005-0000-0000-0000782A0000}"/>
    <cellStyle name="Normal 5 4 2 3 3 3" xfId="10206" xr:uid="{00000000-0005-0000-0000-0000792A0000}"/>
    <cellStyle name="Normal 5 4 2 3 4" xfId="5272" xr:uid="{00000000-0005-0000-0000-00007A2A0000}"/>
    <cellStyle name="Normal 5 4 2 3 5" xfId="8964" xr:uid="{00000000-0005-0000-0000-00007B2A0000}"/>
    <cellStyle name="Normal 5 4 2 4" xfId="2024" xr:uid="{00000000-0005-0000-0000-00007C2A0000}"/>
    <cellStyle name="Normal 5 4 2 4 2" xfId="5884" xr:uid="{00000000-0005-0000-0000-00007D2A0000}"/>
    <cellStyle name="Normal 5 4 2 4 3" xfId="10818" xr:uid="{00000000-0005-0000-0000-00007E2A0000}"/>
    <cellStyle name="Normal 5 4 2 5" xfId="3251" xr:uid="{00000000-0005-0000-0000-00007F2A0000}"/>
    <cellStyle name="Normal 5 4 2 5 2" xfId="7108" xr:uid="{00000000-0005-0000-0000-0000802A0000}"/>
    <cellStyle name="Normal 5 4 2 5 3" xfId="12024" xr:uid="{00000000-0005-0000-0000-0000812A0000}"/>
    <cellStyle name="Normal 5 4 2 6" xfId="4660" xr:uid="{00000000-0005-0000-0000-0000822A0000}"/>
    <cellStyle name="Normal 5 4 2 6 2" xfId="9576" xr:uid="{00000000-0005-0000-0000-0000832A0000}"/>
    <cellStyle name="Normal 5 4 2 7" xfId="8333" xr:uid="{00000000-0005-0000-0000-0000842A0000}"/>
    <cellStyle name="Normal 5 4 3" xfId="662" xr:uid="{00000000-0005-0000-0000-0000852A0000}"/>
    <cellStyle name="Normal 5 4 3 2" xfId="1012" xr:uid="{00000000-0005-0000-0000-0000862A0000}"/>
    <cellStyle name="Normal 5 4 3 2 2" xfId="1626" xr:uid="{00000000-0005-0000-0000-0000872A0000}"/>
    <cellStyle name="Normal 5 4 3 2 2 2" xfId="2852" xr:uid="{00000000-0005-0000-0000-0000882A0000}"/>
    <cellStyle name="Normal 5 4 3 2 2 2 2" xfId="6712" xr:uid="{00000000-0005-0000-0000-0000892A0000}"/>
    <cellStyle name="Normal 5 4 3 2 2 2 3" xfId="11664" xr:uid="{00000000-0005-0000-0000-00008A2A0000}"/>
    <cellStyle name="Normal 5 4 3 2 2 3" xfId="4080" xr:uid="{00000000-0005-0000-0000-00008B2A0000}"/>
    <cellStyle name="Normal 5 4 3 2 2 3 2" xfId="7936" xr:uid="{00000000-0005-0000-0000-00008C2A0000}"/>
    <cellStyle name="Normal 5 4 3 2 2 3 3" xfId="10422" xr:uid="{00000000-0005-0000-0000-00008D2A0000}"/>
    <cellStyle name="Normal 5 4 3 2 2 4" xfId="5488" xr:uid="{00000000-0005-0000-0000-00008E2A0000}"/>
    <cellStyle name="Normal 5 4 3 2 2 5" xfId="9180" xr:uid="{00000000-0005-0000-0000-00008F2A0000}"/>
    <cellStyle name="Normal 5 4 3 2 3" xfId="2240" xr:uid="{00000000-0005-0000-0000-0000902A0000}"/>
    <cellStyle name="Normal 5 4 3 2 3 2" xfId="6100" xr:uid="{00000000-0005-0000-0000-0000912A0000}"/>
    <cellStyle name="Normal 5 4 3 2 3 3" xfId="11016" xr:uid="{00000000-0005-0000-0000-0000922A0000}"/>
    <cellStyle name="Normal 5 4 3 2 4" xfId="3468" xr:uid="{00000000-0005-0000-0000-0000932A0000}"/>
    <cellStyle name="Normal 5 4 3 2 4 2" xfId="7324" xr:uid="{00000000-0005-0000-0000-0000942A0000}"/>
    <cellStyle name="Normal 5 4 3 2 4 3" xfId="9774" xr:uid="{00000000-0005-0000-0000-0000952A0000}"/>
    <cellStyle name="Normal 5 4 3 2 5" xfId="4876" xr:uid="{00000000-0005-0000-0000-0000962A0000}"/>
    <cellStyle name="Normal 5 4 3 2 6" xfId="8531" xr:uid="{00000000-0005-0000-0000-0000972A0000}"/>
    <cellStyle name="Normal 5 4 3 3" xfId="1320" xr:uid="{00000000-0005-0000-0000-0000982A0000}"/>
    <cellStyle name="Normal 5 4 3 3 2" xfId="2546" xr:uid="{00000000-0005-0000-0000-0000992A0000}"/>
    <cellStyle name="Normal 5 4 3 3 2 2" xfId="6406" xr:uid="{00000000-0005-0000-0000-00009A2A0000}"/>
    <cellStyle name="Normal 5 4 3 3 2 3" xfId="11358" xr:uid="{00000000-0005-0000-0000-00009B2A0000}"/>
    <cellStyle name="Normal 5 4 3 3 3" xfId="3774" xr:uid="{00000000-0005-0000-0000-00009C2A0000}"/>
    <cellStyle name="Normal 5 4 3 3 3 2" xfId="7630" xr:uid="{00000000-0005-0000-0000-00009D2A0000}"/>
    <cellStyle name="Normal 5 4 3 3 3 3" xfId="10116" xr:uid="{00000000-0005-0000-0000-00009E2A0000}"/>
    <cellStyle name="Normal 5 4 3 3 4" xfId="5182" xr:uid="{00000000-0005-0000-0000-00009F2A0000}"/>
    <cellStyle name="Normal 5 4 3 3 5" xfId="8874" xr:uid="{00000000-0005-0000-0000-0000A02A0000}"/>
    <cellStyle name="Normal 5 4 3 4" xfId="1934" xr:uid="{00000000-0005-0000-0000-0000A12A0000}"/>
    <cellStyle name="Normal 5 4 3 4 2" xfId="5794" xr:uid="{00000000-0005-0000-0000-0000A22A0000}"/>
    <cellStyle name="Normal 5 4 3 4 3" xfId="10728" xr:uid="{00000000-0005-0000-0000-0000A32A0000}"/>
    <cellStyle name="Normal 5 4 3 5" xfId="3161" xr:uid="{00000000-0005-0000-0000-0000A42A0000}"/>
    <cellStyle name="Normal 5 4 3 5 2" xfId="7018" xr:uid="{00000000-0005-0000-0000-0000A52A0000}"/>
    <cellStyle name="Normal 5 4 3 5 3" xfId="11934" xr:uid="{00000000-0005-0000-0000-0000A62A0000}"/>
    <cellStyle name="Normal 5 4 3 6" xfId="4570" xr:uid="{00000000-0005-0000-0000-0000A72A0000}"/>
    <cellStyle name="Normal 5 4 3 6 2" xfId="9486" xr:uid="{00000000-0005-0000-0000-0000A82A0000}"/>
    <cellStyle name="Normal 5 4 3 7" xfId="8243" xr:uid="{00000000-0005-0000-0000-0000A92A0000}"/>
    <cellStyle name="Normal 5 4 4" xfId="921" xr:uid="{00000000-0005-0000-0000-0000AA2A0000}"/>
    <cellStyle name="Normal 5 4 4 2" xfId="1536" xr:uid="{00000000-0005-0000-0000-0000AB2A0000}"/>
    <cellStyle name="Normal 5 4 4 2 2" xfId="2762" xr:uid="{00000000-0005-0000-0000-0000AC2A0000}"/>
    <cellStyle name="Normal 5 4 4 2 2 2" xfId="6622" xr:uid="{00000000-0005-0000-0000-0000AD2A0000}"/>
    <cellStyle name="Normal 5 4 4 2 2 3" xfId="11574" xr:uid="{00000000-0005-0000-0000-0000AE2A0000}"/>
    <cellStyle name="Normal 5 4 4 2 3" xfId="3990" xr:uid="{00000000-0005-0000-0000-0000AF2A0000}"/>
    <cellStyle name="Normal 5 4 4 2 3 2" xfId="7846" xr:uid="{00000000-0005-0000-0000-0000B02A0000}"/>
    <cellStyle name="Normal 5 4 4 2 3 3" xfId="10332" xr:uid="{00000000-0005-0000-0000-0000B12A0000}"/>
    <cellStyle name="Normal 5 4 4 2 4" xfId="5398" xr:uid="{00000000-0005-0000-0000-0000B22A0000}"/>
    <cellStyle name="Normal 5 4 4 2 5" xfId="9090" xr:uid="{00000000-0005-0000-0000-0000B32A0000}"/>
    <cellStyle name="Normal 5 4 4 3" xfId="2150" xr:uid="{00000000-0005-0000-0000-0000B42A0000}"/>
    <cellStyle name="Normal 5 4 4 3 2" xfId="6010" xr:uid="{00000000-0005-0000-0000-0000B52A0000}"/>
    <cellStyle name="Normal 5 4 4 3 3" xfId="10926" xr:uid="{00000000-0005-0000-0000-0000B62A0000}"/>
    <cellStyle name="Normal 5 4 4 4" xfId="3378" xr:uid="{00000000-0005-0000-0000-0000B72A0000}"/>
    <cellStyle name="Normal 5 4 4 4 2" xfId="7234" xr:uid="{00000000-0005-0000-0000-0000B82A0000}"/>
    <cellStyle name="Normal 5 4 4 4 3" xfId="9684" xr:uid="{00000000-0005-0000-0000-0000B92A0000}"/>
    <cellStyle name="Normal 5 4 4 5" xfId="4786" xr:uid="{00000000-0005-0000-0000-0000BA2A0000}"/>
    <cellStyle name="Normal 5 4 4 6" xfId="8441" xr:uid="{00000000-0005-0000-0000-0000BB2A0000}"/>
    <cellStyle name="Normal 5 4 5" xfId="1230" xr:uid="{00000000-0005-0000-0000-0000BC2A0000}"/>
    <cellStyle name="Normal 5 4 5 2" xfId="2456" xr:uid="{00000000-0005-0000-0000-0000BD2A0000}"/>
    <cellStyle name="Normal 5 4 5 2 2" xfId="6316" xr:uid="{00000000-0005-0000-0000-0000BE2A0000}"/>
    <cellStyle name="Normal 5 4 5 2 3" xfId="11268" xr:uid="{00000000-0005-0000-0000-0000BF2A0000}"/>
    <cellStyle name="Normal 5 4 5 3" xfId="3684" xr:uid="{00000000-0005-0000-0000-0000C02A0000}"/>
    <cellStyle name="Normal 5 4 5 3 2" xfId="7540" xr:uid="{00000000-0005-0000-0000-0000C12A0000}"/>
    <cellStyle name="Normal 5 4 5 3 3" xfId="10026" xr:uid="{00000000-0005-0000-0000-0000C22A0000}"/>
    <cellStyle name="Normal 5 4 5 4" xfId="5092" xr:uid="{00000000-0005-0000-0000-0000C32A0000}"/>
    <cellStyle name="Normal 5 4 5 5" xfId="8784" xr:uid="{00000000-0005-0000-0000-0000C42A0000}"/>
    <cellStyle name="Normal 5 4 6" xfId="571" xr:uid="{00000000-0005-0000-0000-0000C52A0000}"/>
    <cellStyle name="Normal 5 4 6 2" xfId="4480" xr:uid="{00000000-0005-0000-0000-0000C62A0000}"/>
    <cellStyle name="Normal 5 4 6 3" xfId="10638" xr:uid="{00000000-0005-0000-0000-0000C72A0000}"/>
    <cellStyle name="Normal 5 4 7" xfId="1844" xr:uid="{00000000-0005-0000-0000-0000C82A0000}"/>
    <cellStyle name="Normal 5 4 7 2" xfId="5704" xr:uid="{00000000-0005-0000-0000-0000C92A0000}"/>
    <cellStyle name="Normal 5 4 7 3" xfId="11844" xr:uid="{00000000-0005-0000-0000-0000CA2A0000}"/>
    <cellStyle name="Normal 5 4 8" xfId="3071" xr:uid="{00000000-0005-0000-0000-0000CB2A0000}"/>
    <cellStyle name="Normal 5 4 8 2" xfId="6928" xr:uid="{00000000-0005-0000-0000-0000CC2A0000}"/>
    <cellStyle name="Normal 5 4 8 3" xfId="9396" xr:uid="{00000000-0005-0000-0000-0000CD2A0000}"/>
    <cellStyle name="Normal 5 4 9" xfId="8153" xr:uid="{00000000-0005-0000-0000-0000CE2A0000}"/>
    <cellStyle name="Normal 5 5" xfId="514" xr:uid="{00000000-0005-0000-0000-0000CF2A0000}"/>
    <cellStyle name="Normal 5 5 2" xfId="716" xr:uid="{00000000-0005-0000-0000-0000D02A0000}"/>
    <cellStyle name="Normal 5 5 2 2" xfId="1066" xr:uid="{00000000-0005-0000-0000-0000D12A0000}"/>
    <cellStyle name="Normal 5 5 2 2 2" xfId="1680" xr:uid="{00000000-0005-0000-0000-0000D22A0000}"/>
    <cellStyle name="Normal 5 5 2 2 2 2" xfId="2906" xr:uid="{00000000-0005-0000-0000-0000D32A0000}"/>
    <cellStyle name="Normal 5 5 2 2 2 2 2" xfId="6766" xr:uid="{00000000-0005-0000-0000-0000D42A0000}"/>
    <cellStyle name="Normal 5 5 2 2 2 2 3" xfId="11718" xr:uid="{00000000-0005-0000-0000-0000D52A0000}"/>
    <cellStyle name="Normal 5 5 2 2 2 3" xfId="4134" xr:uid="{00000000-0005-0000-0000-0000D62A0000}"/>
    <cellStyle name="Normal 5 5 2 2 2 3 2" xfId="7990" xr:uid="{00000000-0005-0000-0000-0000D72A0000}"/>
    <cellStyle name="Normal 5 5 2 2 2 3 3" xfId="10476" xr:uid="{00000000-0005-0000-0000-0000D82A0000}"/>
    <cellStyle name="Normal 5 5 2 2 2 4" xfId="5542" xr:uid="{00000000-0005-0000-0000-0000D92A0000}"/>
    <cellStyle name="Normal 5 5 2 2 2 5" xfId="9234" xr:uid="{00000000-0005-0000-0000-0000DA2A0000}"/>
    <cellStyle name="Normal 5 5 2 2 3" xfId="2294" xr:uid="{00000000-0005-0000-0000-0000DB2A0000}"/>
    <cellStyle name="Normal 5 5 2 2 3 2" xfId="6154" xr:uid="{00000000-0005-0000-0000-0000DC2A0000}"/>
    <cellStyle name="Normal 5 5 2 2 3 3" xfId="11070" xr:uid="{00000000-0005-0000-0000-0000DD2A0000}"/>
    <cellStyle name="Normal 5 5 2 2 4" xfId="3522" xr:uid="{00000000-0005-0000-0000-0000DE2A0000}"/>
    <cellStyle name="Normal 5 5 2 2 4 2" xfId="7378" xr:uid="{00000000-0005-0000-0000-0000DF2A0000}"/>
    <cellStyle name="Normal 5 5 2 2 4 3" xfId="9828" xr:uid="{00000000-0005-0000-0000-0000E02A0000}"/>
    <cellStyle name="Normal 5 5 2 2 5" xfId="4930" xr:uid="{00000000-0005-0000-0000-0000E12A0000}"/>
    <cellStyle name="Normal 5 5 2 2 6" xfId="8585" xr:uid="{00000000-0005-0000-0000-0000E22A0000}"/>
    <cellStyle name="Normal 5 5 2 3" xfId="1374" xr:uid="{00000000-0005-0000-0000-0000E32A0000}"/>
    <cellStyle name="Normal 5 5 2 3 2" xfId="2600" xr:uid="{00000000-0005-0000-0000-0000E42A0000}"/>
    <cellStyle name="Normal 5 5 2 3 2 2" xfId="6460" xr:uid="{00000000-0005-0000-0000-0000E52A0000}"/>
    <cellStyle name="Normal 5 5 2 3 2 3" xfId="11412" xr:uid="{00000000-0005-0000-0000-0000E62A0000}"/>
    <cellStyle name="Normal 5 5 2 3 3" xfId="3828" xr:uid="{00000000-0005-0000-0000-0000E72A0000}"/>
    <cellStyle name="Normal 5 5 2 3 3 2" xfId="7684" xr:uid="{00000000-0005-0000-0000-0000E82A0000}"/>
    <cellStyle name="Normal 5 5 2 3 3 3" xfId="10170" xr:uid="{00000000-0005-0000-0000-0000E92A0000}"/>
    <cellStyle name="Normal 5 5 2 3 4" xfId="5236" xr:uid="{00000000-0005-0000-0000-0000EA2A0000}"/>
    <cellStyle name="Normal 5 5 2 3 5" xfId="8928" xr:uid="{00000000-0005-0000-0000-0000EB2A0000}"/>
    <cellStyle name="Normal 5 5 2 4" xfId="1988" xr:uid="{00000000-0005-0000-0000-0000EC2A0000}"/>
    <cellStyle name="Normal 5 5 2 4 2" xfId="5848" xr:uid="{00000000-0005-0000-0000-0000ED2A0000}"/>
    <cellStyle name="Normal 5 5 2 4 3" xfId="10782" xr:uid="{00000000-0005-0000-0000-0000EE2A0000}"/>
    <cellStyle name="Normal 5 5 2 5" xfId="3215" xr:uid="{00000000-0005-0000-0000-0000EF2A0000}"/>
    <cellStyle name="Normal 5 5 2 5 2" xfId="7072" xr:uid="{00000000-0005-0000-0000-0000F02A0000}"/>
    <cellStyle name="Normal 5 5 2 5 3" xfId="11988" xr:uid="{00000000-0005-0000-0000-0000F12A0000}"/>
    <cellStyle name="Normal 5 5 2 6" xfId="4624" xr:uid="{00000000-0005-0000-0000-0000F22A0000}"/>
    <cellStyle name="Normal 5 5 2 6 2" xfId="9540" xr:uid="{00000000-0005-0000-0000-0000F32A0000}"/>
    <cellStyle name="Normal 5 5 2 7" xfId="8297" xr:uid="{00000000-0005-0000-0000-0000F42A0000}"/>
    <cellStyle name="Normal 5 5 3" xfId="626" xr:uid="{00000000-0005-0000-0000-0000F52A0000}"/>
    <cellStyle name="Normal 5 5 3 2" xfId="976" xr:uid="{00000000-0005-0000-0000-0000F62A0000}"/>
    <cellStyle name="Normal 5 5 3 2 2" xfId="1590" xr:uid="{00000000-0005-0000-0000-0000F72A0000}"/>
    <cellStyle name="Normal 5 5 3 2 2 2" xfId="2816" xr:uid="{00000000-0005-0000-0000-0000F82A0000}"/>
    <cellStyle name="Normal 5 5 3 2 2 2 2" xfId="6676" xr:uid="{00000000-0005-0000-0000-0000F92A0000}"/>
    <cellStyle name="Normal 5 5 3 2 2 2 3" xfId="11628" xr:uid="{00000000-0005-0000-0000-0000FA2A0000}"/>
    <cellStyle name="Normal 5 5 3 2 2 3" xfId="4044" xr:uid="{00000000-0005-0000-0000-0000FB2A0000}"/>
    <cellStyle name="Normal 5 5 3 2 2 3 2" xfId="7900" xr:uid="{00000000-0005-0000-0000-0000FC2A0000}"/>
    <cellStyle name="Normal 5 5 3 2 2 3 3" xfId="10386" xr:uid="{00000000-0005-0000-0000-0000FD2A0000}"/>
    <cellStyle name="Normal 5 5 3 2 2 4" xfId="5452" xr:uid="{00000000-0005-0000-0000-0000FE2A0000}"/>
    <cellStyle name="Normal 5 5 3 2 2 5" xfId="9144" xr:uid="{00000000-0005-0000-0000-0000FF2A0000}"/>
    <cellStyle name="Normal 5 5 3 2 3" xfId="2204" xr:uid="{00000000-0005-0000-0000-0000002B0000}"/>
    <cellStyle name="Normal 5 5 3 2 3 2" xfId="6064" xr:uid="{00000000-0005-0000-0000-0000012B0000}"/>
    <cellStyle name="Normal 5 5 3 2 3 3" xfId="10980" xr:uid="{00000000-0005-0000-0000-0000022B0000}"/>
    <cellStyle name="Normal 5 5 3 2 4" xfId="3432" xr:uid="{00000000-0005-0000-0000-0000032B0000}"/>
    <cellStyle name="Normal 5 5 3 2 4 2" xfId="7288" xr:uid="{00000000-0005-0000-0000-0000042B0000}"/>
    <cellStyle name="Normal 5 5 3 2 4 3" xfId="9738" xr:uid="{00000000-0005-0000-0000-0000052B0000}"/>
    <cellStyle name="Normal 5 5 3 2 5" xfId="4840" xr:uid="{00000000-0005-0000-0000-0000062B0000}"/>
    <cellStyle name="Normal 5 5 3 2 6" xfId="8495" xr:uid="{00000000-0005-0000-0000-0000072B0000}"/>
    <cellStyle name="Normal 5 5 3 3" xfId="1284" xr:uid="{00000000-0005-0000-0000-0000082B0000}"/>
    <cellStyle name="Normal 5 5 3 3 2" xfId="2510" xr:uid="{00000000-0005-0000-0000-0000092B0000}"/>
    <cellStyle name="Normal 5 5 3 3 2 2" xfId="6370" xr:uid="{00000000-0005-0000-0000-00000A2B0000}"/>
    <cellStyle name="Normal 5 5 3 3 2 3" xfId="11322" xr:uid="{00000000-0005-0000-0000-00000B2B0000}"/>
    <cellStyle name="Normal 5 5 3 3 3" xfId="3738" xr:uid="{00000000-0005-0000-0000-00000C2B0000}"/>
    <cellStyle name="Normal 5 5 3 3 3 2" xfId="7594" xr:uid="{00000000-0005-0000-0000-00000D2B0000}"/>
    <cellStyle name="Normal 5 5 3 3 3 3" xfId="10080" xr:uid="{00000000-0005-0000-0000-00000E2B0000}"/>
    <cellStyle name="Normal 5 5 3 3 4" xfId="5146" xr:uid="{00000000-0005-0000-0000-00000F2B0000}"/>
    <cellStyle name="Normal 5 5 3 3 5" xfId="8838" xr:uid="{00000000-0005-0000-0000-0000102B0000}"/>
    <cellStyle name="Normal 5 5 3 4" xfId="1898" xr:uid="{00000000-0005-0000-0000-0000112B0000}"/>
    <cellStyle name="Normal 5 5 3 4 2" xfId="5758" xr:uid="{00000000-0005-0000-0000-0000122B0000}"/>
    <cellStyle name="Normal 5 5 3 4 3" xfId="10692" xr:uid="{00000000-0005-0000-0000-0000132B0000}"/>
    <cellStyle name="Normal 5 5 3 5" xfId="3125" xr:uid="{00000000-0005-0000-0000-0000142B0000}"/>
    <cellStyle name="Normal 5 5 3 5 2" xfId="6982" xr:uid="{00000000-0005-0000-0000-0000152B0000}"/>
    <cellStyle name="Normal 5 5 3 5 3" xfId="11898" xr:uid="{00000000-0005-0000-0000-0000162B0000}"/>
    <cellStyle name="Normal 5 5 3 6" xfId="4534" xr:uid="{00000000-0005-0000-0000-0000172B0000}"/>
    <cellStyle name="Normal 5 5 3 6 2" xfId="9450" xr:uid="{00000000-0005-0000-0000-0000182B0000}"/>
    <cellStyle name="Normal 5 5 3 7" xfId="8207" xr:uid="{00000000-0005-0000-0000-0000192B0000}"/>
    <cellStyle name="Normal 5 5 4" xfId="864" xr:uid="{00000000-0005-0000-0000-00001A2B0000}"/>
    <cellStyle name="Normal 5 5 4 2" xfId="1500" xr:uid="{00000000-0005-0000-0000-00001B2B0000}"/>
    <cellStyle name="Normal 5 5 4 2 2" xfId="2726" xr:uid="{00000000-0005-0000-0000-00001C2B0000}"/>
    <cellStyle name="Normal 5 5 4 2 2 2" xfId="6586" xr:uid="{00000000-0005-0000-0000-00001D2B0000}"/>
    <cellStyle name="Normal 5 5 4 2 2 3" xfId="11538" xr:uid="{00000000-0005-0000-0000-00001E2B0000}"/>
    <cellStyle name="Normal 5 5 4 2 3" xfId="3954" xr:uid="{00000000-0005-0000-0000-00001F2B0000}"/>
    <cellStyle name="Normal 5 5 4 2 3 2" xfId="7810" xr:uid="{00000000-0005-0000-0000-0000202B0000}"/>
    <cellStyle name="Normal 5 5 4 2 3 3" xfId="10296" xr:uid="{00000000-0005-0000-0000-0000212B0000}"/>
    <cellStyle name="Normal 5 5 4 2 4" xfId="5362" xr:uid="{00000000-0005-0000-0000-0000222B0000}"/>
    <cellStyle name="Normal 5 5 4 2 5" xfId="9054" xr:uid="{00000000-0005-0000-0000-0000232B0000}"/>
    <cellStyle name="Normal 5 5 4 3" xfId="2114" xr:uid="{00000000-0005-0000-0000-0000242B0000}"/>
    <cellStyle name="Normal 5 5 4 3 2" xfId="5974" xr:uid="{00000000-0005-0000-0000-0000252B0000}"/>
    <cellStyle name="Normal 5 5 4 3 3" xfId="10890" xr:uid="{00000000-0005-0000-0000-0000262B0000}"/>
    <cellStyle name="Normal 5 5 4 4" xfId="3342" xr:uid="{00000000-0005-0000-0000-0000272B0000}"/>
    <cellStyle name="Normal 5 5 4 4 2" xfId="7198" xr:uid="{00000000-0005-0000-0000-0000282B0000}"/>
    <cellStyle name="Normal 5 5 4 4 3" xfId="9648" xr:uid="{00000000-0005-0000-0000-0000292B0000}"/>
    <cellStyle name="Normal 5 5 4 5" xfId="4750" xr:uid="{00000000-0005-0000-0000-00002A2B0000}"/>
    <cellStyle name="Normal 5 5 4 6" xfId="8405" xr:uid="{00000000-0005-0000-0000-00002B2B0000}"/>
    <cellStyle name="Normal 5 5 5" xfId="1194" xr:uid="{00000000-0005-0000-0000-00002C2B0000}"/>
    <cellStyle name="Normal 5 5 5 2" xfId="2420" xr:uid="{00000000-0005-0000-0000-00002D2B0000}"/>
    <cellStyle name="Normal 5 5 5 2 2" xfId="6280" xr:uid="{00000000-0005-0000-0000-00002E2B0000}"/>
    <cellStyle name="Normal 5 5 5 2 3" xfId="11232" xr:uid="{00000000-0005-0000-0000-00002F2B0000}"/>
    <cellStyle name="Normal 5 5 5 3" xfId="3648" xr:uid="{00000000-0005-0000-0000-0000302B0000}"/>
    <cellStyle name="Normal 5 5 5 3 2" xfId="7504" xr:uid="{00000000-0005-0000-0000-0000312B0000}"/>
    <cellStyle name="Normal 5 5 5 3 3" xfId="9990" xr:uid="{00000000-0005-0000-0000-0000322B0000}"/>
    <cellStyle name="Normal 5 5 5 4" xfId="5056" xr:uid="{00000000-0005-0000-0000-0000332B0000}"/>
    <cellStyle name="Normal 5 5 5 5" xfId="8748" xr:uid="{00000000-0005-0000-0000-0000342B0000}"/>
    <cellStyle name="Normal 5 5 6" xfId="1808" xr:uid="{00000000-0005-0000-0000-0000352B0000}"/>
    <cellStyle name="Normal 5 5 6 2" xfId="5668" xr:uid="{00000000-0005-0000-0000-0000362B0000}"/>
    <cellStyle name="Normal 5 5 6 3" xfId="10602" xr:uid="{00000000-0005-0000-0000-0000372B0000}"/>
    <cellStyle name="Normal 5 5 7" xfId="3035" xr:uid="{00000000-0005-0000-0000-0000382B0000}"/>
    <cellStyle name="Normal 5 5 7 2" xfId="6892" xr:uid="{00000000-0005-0000-0000-0000392B0000}"/>
    <cellStyle name="Normal 5 5 7 3" xfId="11808" xr:uid="{00000000-0005-0000-0000-00003A2B0000}"/>
    <cellStyle name="Normal 5 5 8" xfId="4444" xr:uid="{00000000-0005-0000-0000-00003B2B0000}"/>
    <cellStyle name="Normal 5 5 8 2" xfId="9360" xr:uid="{00000000-0005-0000-0000-00003C2B0000}"/>
    <cellStyle name="Normal 5 5 9" xfId="8117" xr:uid="{00000000-0005-0000-0000-00003D2B0000}"/>
    <cellStyle name="Normal 5 6" xfId="698" xr:uid="{00000000-0005-0000-0000-00003E2B0000}"/>
    <cellStyle name="Normal 5 6 2" xfId="1048" xr:uid="{00000000-0005-0000-0000-00003F2B0000}"/>
    <cellStyle name="Normal 5 6 2 2" xfId="1662" xr:uid="{00000000-0005-0000-0000-0000402B0000}"/>
    <cellStyle name="Normal 5 6 2 2 2" xfId="2888" xr:uid="{00000000-0005-0000-0000-0000412B0000}"/>
    <cellStyle name="Normal 5 6 2 2 2 2" xfId="6748" xr:uid="{00000000-0005-0000-0000-0000422B0000}"/>
    <cellStyle name="Normal 5 6 2 2 2 3" xfId="11700" xr:uid="{00000000-0005-0000-0000-0000432B0000}"/>
    <cellStyle name="Normal 5 6 2 2 3" xfId="4116" xr:uid="{00000000-0005-0000-0000-0000442B0000}"/>
    <cellStyle name="Normal 5 6 2 2 3 2" xfId="7972" xr:uid="{00000000-0005-0000-0000-0000452B0000}"/>
    <cellStyle name="Normal 5 6 2 2 3 3" xfId="10458" xr:uid="{00000000-0005-0000-0000-0000462B0000}"/>
    <cellStyle name="Normal 5 6 2 2 4" xfId="5524" xr:uid="{00000000-0005-0000-0000-0000472B0000}"/>
    <cellStyle name="Normal 5 6 2 2 5" xfId="9216" xr:uid="{00000000-0005-0000-0000-0000482B0000}"/>
    <cellStyle name="Normal 5 6 2 3" xfId="2276" xr:uid="{00000000-0005-0000-0000-0000492B0000}"/>
    <cellStyle name="Normal 5 6 2 3 2" xfId="6136" xr:uid="{00000000-0005-0000-0000-00004A2B0000}"/>
    <cellStyle name="Normal 5 6 2 3 3" xfId="11052" xr:uid="{00000000-0005-0000-0000-00004B2B0000}"/>
    <cellStyle name="Normal 5 6 2 4" xfId="3504" xr:uid="{00000000-0005-0000-0000-00004C2B0000}"/>
    <cellStyle name="Normal 5 6 2 4 2" xfId="7360" xr:uid="{00000000-0005-0000-0000-00004D2B0000}"/>
    <cellStyle name="Normal 5 6 2 4 3" xfId="9810" xr:uid="{00000000-0005-0000-0000-00004E2B0000}"/>
    <cellStyle name="Normal 5 6 2 5" xfId="4912" xr:uid="{00000000-0005-0000-0000-00004F2B0000}"/>
    <cellStyle name="Normal 5 6 2 6" xfId="8567" xr:uid="{00000000-0005-0000-0000-0000502B0000}"/>
    <cellStyle name="Normal 5 6 3" xfId="1356" xr:uid="{00000000-0005-0000-0000-0000512B0000}"/>
    <cellStyle name="Normal 5 6 3 2" xfId="2582" xr:uid="{00000000-0005-0000-0000-0000522B0000}"/>
    <cellStyle name="Normal 5 6 3 2 2" xfId="6442" xr:uid="{00000000-0005-0000-0000-0000532B0000}"/>
    <cellStyle name="Normal 5 6 3 2 3" xfId="11394" xr:uid="{00000000-0005-0000-0000-0000542B0000}"/>
    <cellStyle name="Normal 5 6 3 3" xfId="3810" xr:uid="{00000000-0005-0000-0000-0000552B0000}"/>
    <cellStyle name="Normal 5 6 3 3 2" xfId="7666" xr:uid="{00000000-0005-0000-0000-0000562B0000}"/>
    <cellStyle name="Normal 5 6 3 3 3" xfId="10152" xr:uid="{00000000-0005-0000-0000-0000572B0000}"/>
    <cellStyle name="Normal 5 6 3 4" xfId="5218" xr:uid="{00000000-0005-0000-0000-0000582B0000}"/>
    <cellStyle name="Normal 5 6 3 5" xfId="8910" xr:uid="{00000000-0005-0000-0000-0000592B0000}"/>
    <cellStyle name="Normal 5 6 4" xfId="1970" xr:uid="{00000000-0005-0000-0000-00005A2B0000}"/>
    <cellStyle name="Normal 5 6 4 2" xfId="5830" xr:uid="{00000000-0005-0000-0000-00005B2B0000}"/>
    <cellStyle name="Normal 5 6 4 3" xfId="10764" xr:uid="{00000000-0005-0000-0000-00005C2B0000}"/>
    <cellStyle name="Normal 5 6 5" xfId="3197" xr:uid="{00000000-0005-0000-0000-00005D2B0000}"/>
    <cellStyle name="Normal 5 6 5 2" xfId="7054" xr:uid="{00000000-0005-0000-0000-00005E2B0000}"/>
    <cellStyle name="Normal 5 6 5 3" xfId="11970" xr:uid="{00000000-0005-0000-0000-00005F2B0000}"/>
    <cellStyle name="Normal 5 6 6" xfId="4606" xr:uid="{00000000-0005-0000-0000-0000602B0000}"/>
    <cellStyle name="Normal 5 6 6 2" xfId="9522" xr:uid="{00000000-0005-0000-0000-0000612B0000}"/>
    <cellStyle name="Normal 5 6 7" xfId="8279" xr:uid="{00000000-0005-0000-0000-0000622B0000}"/>
    <cellStyle name="Normal 5 7" xfId="608" xr:uid="{00000000-0005-0000-0000-0000632B0000}"/>
    <cellStyle name="Normal 5 7 2" xfId="958" xr:uid="{00000000-0005-0000-0000-0000642B0000}"/>
    <cellStyle name="Normal 5 7 2 2" xfId="1572" xr:uid="{00000000-0005-0000-0000-0000652B0000}"/>
    <cellStyle name="Normal 5 7 2 2 2" xfId="2798" xr:uid="{00000000-0005-0000-0000-0000662B0000}"/>
    <cellStyle name="Normal 5 7 2 2 2 2" xfId="6658" xr:uid="{00000000-0005-0000-0000-0000672B0000}"/>
    <cellStyle name="Normal 5 7 2 2 2 3" xfId="11610" xr:uid="{00000000-0005-0000-0000-0000682B0000}"/>
    <cellStyle name="Normal 5 7 2 2 3" xfId="4026" xr:uid="{00000000-0005-0000-0000-0000692B0000}"/>
    <cellStyle name="Normal 5 7 2 2 3 2" xfId="7882" xr:uid="{00000000-0005-0000-0000-00006A2B0000}"/>
    <cellStyle name="Normal 5 7 2 2 3 3" xfId="10368" xr:uid="{00000000-0005-0000-0000-00006B2B0000}"/>
    <cellStyle name="Normal 5 7 2 2 4" xfId="5434" xr:uid="{00000000-0005-0000-0000-00006C2B0000}"/>
    <cellStyle name="Normal 5 7 2 2 5" xfId="9126" xr:uid="{00000000-0005-0000-0000-00006D2B0000}"/>
    <cellStyle name="Normal 5 7 2 3" xfId="2186" xr:uid="{00000000-0005-0000-0000-00006E2B0000}"/>
    <cellStyle name="Normal 5 7 2 3 2" xfId="6046" xr:uid="{00000000-0005-0000-0000-00006F2B0000}"/>
    <cellStyle name="Normal 5 7 2 3 3" xfId="10962" xr:uid="{00000000-0005-0000-0000-0000702B0000}"/>
    <cellStyle name="Normal 5 7 2 4" xfId="3414" xr:uid="{00000000-0005-0000-0000-0000712B0000}"/>
    <cellStyle name="Normal 5 7 2 4 2" xfId="7270" xr:uid="{00000000-0005-0000-0000-0000722B0000}"/>
    <cellStyle name="Normal 5 7 2 4 3" xfId="9720" xr:uid="{00000000-0005-0000-0000-0000732B0000}"/>
    <cellStyle name="Normal 5 7 2 5" xfId="4822" xr:uid="{00000000-0005-0000-0000-0000742B0000}"/>
    <cellStyle name="Normal 5 7 2 6" xfId="8477" xr:uid="{00000000-0005-0000-0000-0000752B0000}"/>
    <cellStyle name="Normal 5 7 3" xfId="1266" xr:uid="{00000000-0005-0000-0000-0000762B0000}"/>
    <cellStyle name="Normal 5 7 3 2" xfId="2492" xr:uid="{00000000-0005-0000-0000-0000772B0000}"/>
    <cellStyle name="Normal 5 7 3 2 2" xfId="6352" xr:uid="{00000000-0005-0000-0000-0000782B0000}"/>
    <cellStyle name="Normal 5 7 3 2 3" xfId="11304" xr:uid="{00000000-0005-0000-0000-0000792B0000}"/>
    <cellStyle name="Normal 5 7 3 3" xfId="3720" xr:uid="{00000000-0005-0000-0000-00007A2B0000}"/>
    <cellStyle name="Normal 5 7 3 3 2" xfId="7576" xr:uid="{00000000-0005-0000-0000-00007B2B0000}"/>
    <cellStyle name="Normal 5 7 3 3 3" xfId="10062" xr:uid="{00000000-0005-0000-0000-00007C2B0000}"/>
    <cellStyle name="Normal 5 7 3 4" xfId="5128" xr:uid="{00000000-0005-0000-0000-00007D2B0000}"/>
    <cellStyle name="Normal 5 7 3 5" xfId="8820" xr:uid="{00000000-0005-0000-0000-00007E2B0000}"/>
    <cellStyle name="Normal 5 7 4" xfId="1880" xr:uid="{00000000-0005-0000-0000-00007F2B0000}"/>
    <cellStyle name="Normal 5 7 4 2" xfId="5740" xr:uid="{00000000-0005-0000-0000-0000802B0000}"/>
    <cellStyle name="Normal 5 7 4 3" xfId="10674" xr:uid="{00000000-0005-0000-0000-0000812B0000}"/>
    <cellStyle name="Normal 5 7 5" xfId="3107" xr:uid="{00000000-0005-0000-0000-0000822B0000}"/>
    <cellStyle name="Normal 5 7 5 2" xfId="6964" xr:uid="{00000000-0005-0000-0000-0000832B0000}"/>
    <cellStyle name="Normal 5 7 5 3" xfId="11880" xr:uid="{00000000-0005-0000-0000-0000842B0000}"/>
    <cellStyle name="Normal 5 7 6" xfId="4516" xr:uid="{00000000-0005-0000-0000-0000852B0000}"/>
    <cellStyle name="Normal 5 7 6 2" xfId="9432" xr:uid="{00000000-0005-0000-0000-0000862B0000}"/>
    <cellStyle name="Normal 5 7 7" xfId="8189" xr:uid="{00000000-0005-0000-0000-0000872B0000}"/>
    <cellStyle name="Normal 5 8" xfId="494" xr:uid="{00000000-0005-0000-0000-0000882B0000}"/>
    <cellStyle name="Normal 5 8 2" xfId="844" xr:uid="{00000000-0005-0000-0000-0000892B0000}"/>
    <cellStyle name="Normal 5 8 2 2" xfId="1482" xr:uid="{00000000-0005-0000-0000-00008A2B0000}"/>
    <cellStyle name="Normal 5 8 2 2 2" xfId="2708" xr:uid="{00000000-0005-0000-0000-00008B2B0000}"/>
    <cellStyle name="Normal 5 8 2 2 2 2" xfId="6568" xr:uid="{00000000-0005-0000-0000-00008C2B0000}"/>
    <cellStyle name="Normal 5 8 2 2 2 3" xfId="11520" xr:uid="{00000000-0005-0000-0000-00008D2B0000}"/>
    <cellStyle name="Normal 5 8 2 2 3" xfId="3936" xr:uid="{00000000-0005-0000-0000-00008E2B0000}"/>
    <cellStyle name="Normal 5 8 2 2 3 2" xfId="7792" xr:uid="{00000000-0005-0000-0000-00008F2B0000}"/>
    <cellStyle name="Normal 5 8 2 2 3 3" xfId="10278" xr:uid="{00000000-0005-0000-0000-0000902B0000}"/>
    <cellStyle name="Normal 5 8 2 2 4" xfId="5344" xr:uid="{00000000-0005-0000-0000-0000912B0000}"/>
    <cellStyle name="Normal 5 8 2 2 5" xfId="9036" xr:uid="{00000000-0005-0000-0000-0000922B0000}"/>
    <cellStyle name="Normal 5 8 2 3" xfId="2096" xr:uid="{00000000-0005-0000-0000-0000932B0000}"/>
    <cellStyle name="Normal 5 8 2 3 2" xfId="5956" xr:uid="{00000000-0005-0000-0000-0000942B0000}"/>
    <cellStyle name="Normal 5 8 2 3 3" xfId="10872" xr:uid="{00000000-0005-0000-0000-0000952B0000}"/>
    <cellStyle name="Normal 5 8 2 4" xfId="3324" xr:uid="{00000000-0005-0000-0000-0000962B0000}"/>
    <cellStyle name="Normal 5 8 2 4 2" xfId="7180" xr:uid="{00000000-0005-0000-0000-0000972B0000}"/>
    <cellStyle name="Normal 5 8 2 4 3" xfId="9630" xr:uid="{00000000-0005-0000-0000-0000982B0000}"/>
    <cellStyle name="Normal 5 8 2 5" xfId="4732" xr:uid="{00000000-0005-0000-0000-0000992B0000}"/>
    <cellStyle name="Normal 5 8 2 6" xfId="8387" xr:uid="{00000000-0005-0000-0000-00009A2B0000}"/>
    <cellStyle name="Normal 5 8 3" xfId="1176" xr:uid="{00000000-0005-0000-0000-00009B2B0000}"/>
    <cellStyle name="Normal 5 8 3 2" xfId="2402" xr:uid="{00000000-0005-0000-0000-00009C2B0000}"/>
    <cellStyle name="Normal 5 8 3 2 2" xfId="6262" xr:uid="{00000000-0005-0000-0000-00009D2B0000}"/>
    <cellStyle name="Normal 5 8 3 2 3" xfId="11214" xr:uid="{00000000-0005-0000-0000-00009E2B0000}"/>
    <cellStyle name="Normal 5 8 3 3" xfId="3630" xr:uid="{00000000-0005-0000-0000-00009F2B0000}"/>
    <cellStyle name="Normal 5 8 3 3 2" xfId="7486" xr:uid="{00000000-0005-0000-0000-0000A02B0000}"/>
    <cellStyle name="Normal 5 8 3 3 3" xfId="9972" xr:uid="{00000000-0005-0000-0000-0000A12B0000}"/>
    <cellStyle name="Normal 5 8 3 4" xfId="5038" xr:uid="{00000000-0005-0000-0000-0000A22B0000}"/>
    <cellStyle name="Normal 5 8 3 5" xfId="8730" xr:uid="{00000000-0005-0000-0000-0000A32B0000}"/>
    <cellStyle name="Normal 5 8 4" xfId="1790" xr:uid="{00000000-0005-0000-0000-0000A42B0000}"/>
    <cellStyle name="Normal 5 8 4 2" xfId="5650" xr:uid="{00000000-0005-0000-0000-0000A52B0000}"/>
    <cellStyle name="Normal 5 8 4 3" xfId="10584" xr:uid="{00000000-0005-0000-0000-0000A62B0000}"/>
    <cellStyle name="Normal 5 8 5" xfId="3017" xr:uid="{00000000-0005-0000-0000-0000A72B0000}"/>
    <cellStyle name="Normal 5 8 5 2" xfId="6874" xr:uid="{00000000-0005-0000-0000-0000A82B0000}"/>
    <cellStyle name="Normal 5 8 5 3" xfId="12060" xr:uid="{00000000-0005-0000-0000-0000A92B0000}"/>
    <cellStyle name="Normal 5 8 6" xfId="4426" xr:uid="{00000000-0005-0000-0000-0000AA2B0000}"/>
    <cellStyle name="Normal 5 8 6 2" xfId="9342" xr:uid="{00000000-0005-0000-0000-0000AB2B0000}"/>
    <cellStyle name="Normal 5 8 7" xfId="8099" xr:uid="{00000000-0005-0000-0000-0000AC2B0000}"/>
    <cellStyle name="Normal 5 9" xfId="807" xr:uid="{00000000-0005-0000-0000-0000AD2B0000}"/>
    <cellStyle name="Normal 5 9 2" xfId="1446" xr:uid="{00000000-0005-0000-0000-0000AE2B0000}"/>
    <cellStyle name="Normal 5 9 2 2" xfId="2672" xr:uid="{00000000-0005-0000-0000-0000AF2B0000}"/>
    <cellStyle name="Normal 5 9 2 2 2" xfId="6532" xr:uid="{00000000-0005-0000-0000-0000B02B0000}"/>
    <cellStyle name="Normal 5 9 2 2 3" xfId="11484" xr:uid="{00000000-0005-0000-0000-0000B12B0000}"/>
    <cellStyle name="Normal 5 9 2 3" xfId="3900" xr:uid="{00000000-0005-0000-0000-0000B22B0000}"/>
    <cellStyle name="Normal 5 9 2 3 2" xfId="7756" xr:uid="{00000000-0005-0000-0000-0000B32B0000}"/>
    <cellStyle name="Normal 5 9 2 3 3" xfId="10242" xr:uid="{00000000-0005-0000-0000-0000B42B0000}"/>
    <cellStyle name="Normal 5 9 2 4" xfId="5308" xr:uid="{00000000-0005-0000-0000-0000B52B0000}"/>
    <cellStyle name="Normal 5 9 2 5" xfId="9000" xr:uid="{00000000-0005-0000-0000-0000B62B0000}"/>
    <cellStyle name="Normal 5 9 3" xfId="2060" xr:uid="{00000000-0005-0000-0000-0000B72B0000}"/>
    <cellStyle name="Normal 5 9 3 2" xfId="5920" xr:uid="{00000000-0005-0000-0000-0000B82B0000}"/>
    <cellStyle name="Normal 5 9 3 3" xfId="10854" xr:uid="{00000000-0005-0000-0000-0000B92B0000}"/>
    <cellStyle name="Normal 5 9 4" xfId="3288" xr:uid="{00000000-0005-0000-0000-0000BA2B0000}"/>
    <cellStyle name="Normal 5 9 4 2" xfId="7144" xr:uid="{00000000-0005-0000-0000-0000BB2B0000}"/>
    <cellStyle name="Normal 5 9 4 3" xfId="9612" xr:uid="{00000000-0005-0000-0000-0000BC2B0000}"/>
    <cellStyle name="Normal 5 9 5" xfId="4696" xr:uid="{00000000-0005-0000-0000-0000BD2B0000}"/>
    <cellStyle name="Normal 5 9 6" xfId="8369" xr:uid="{00000000-0005-0000-0000-0000BE2B0000}"/>
    <cellStyle name="Normal 50" xfId="276" xr:uid="{00000000-0005-0000-0000-0000BF2B0000}"/>
    <cellStyle name="Normal 51" xfId="277" xr:uid="{00000000-0005-0000-0000-0000C02B0000}"/>
    <cellStyle name="Normal 51 2" xfId="278" xr:uid="{00000000-0005-0000-0000-0000C12B0000}"/>
    <cellStyle name="Normal 52" xfId="279" xr:uid="{00000000-0005-0000-0000-0000C22B0000}"/>
    <cellStyle name="Normal 53" xfId="280" xr:uid="{00000000-0005-0000-0000-0000C32B0000}"/>
    <cellStyle name="Normal 54" xfId="281" xr:uid="{00000000-0005-0000-0000-0000C42B0000}"/>
    <cellStyle name="Normal 55" xfId="282" xr:uid="{00000000-0005-0000-0000-0000C52B0000}"/>
    <cellStyle name="Normal 55 2" xfId="283" xr:uid="{00000000-0005-0000-0000-0000C62B0000}"/>
    <cellStyle name="Normal 56" xfId="284" xr:uid="{00000000-0005-0000-0000-0000C72B0000}"/>
    <cellStyle name="Normal 56 2" xfId="285" xr:uid="{00000000-0005-0000-0000-0000C82B0000}"/>
    <cellStyle name="Normal 57" xfId="286" xr:uid="{00000000-0005-0000-0000-0000C92B0000}"/>
    <cellStyle name="Normal 57 2" xfId="287" xr:uid="{00000000-0005-0000-0000-0000CA2B0000}"/>
    <cellStyle name="Normal 58" xfId="288" xr:uid="{00000000-0005-0000-0000-0000CB2B0000}"/>
    <cellStyle name="Normal 58 2" xfId="4298" xr:uid="{00000000-0005-0000-0000-0000CC2B0000}"/>
    <cellStyle name="Normal 59" xfId="289" xr:uid="{00000000-0005-0000-0000-0000CD2B0000}"/>
    <cellStyle name="Normal 59 2" xfId="4299" xr:uid="{00000000-0005-0000-0000-0000CE2B0000}"/>
    <cellStyle name="Normal 6" xfId="290" xr:uid="{00000000-0005-0000-0000-0000CF2B0000}"/>
    <cellStyle name="Normal 6 10" xfId="424" xr:uid="{00000000-0005-0000-0000-0000D02B0000}"/>
    <cellStyle name="Normal 6 10 2" xfId="4374" xr:uid="{00000000-0005-0000-0000-0000D12B0000}"/>
    <cellStyle name="Normal 6 10 3" xfId="10532" xr:uid="{00000000-0005-0000-0000-0000D22B0000}"/>
    <cellStyle name="Normal 6 11" xfId="1738" xr:uid="{00000000-0005-0000-0000-0000D32B0000}"/>
    <cellStyle name="Normal 6 11 2" xfId="5598" xr:uid="{00000000-0005-0000-0000-0000D42B0000}"/>
    <cellStyle name="Normal 6 11 3" xfId="11774" xr:uid="{00000000-0005-0000-0000-0000D52B0000}"/>
    <cellStyle name="Normal 6 12" xfId="2965" xr:uid="{00000000-0005-0000-0000-0000D62B0000}"/>
    <cellStyle name="Normal 6 12 2" xfId="6822" xr:uid="{00000000-0005-0000-0000-0000D72B0000}"/>
    <cellStyle name="Normal 6 12 3" xfId="9290" xr:uid="{00000000-0005-0000-0000-0000D82B0000}"/>
    <cellStyle name="Normal 6 13" xfId="4300" xr:uid="{00000000-0005-0000-0000-0000D92B0000}"/>
    <cellStyle name="Normal 6 14" xfId="8047" xr:uid="{00000000-0005-0000-0000-0000DA2B0000}"/>
    <cellStyle name="Normal 6 2" xfId="291" xr:uid="{00000000-0005-0000-0000-0000DB2B0000}"/>
    <cellStyle name="Normal 6 2 10" xfId="2983" xr:uid="{00000000-0005-0000-0000-0000DC2B0000}"/>
    <cellStyle name="Normal 6 2 10 2" xfId="6840" xr:uid="{00000000-0005-0000-0000-0000DD2B0000}"/>
    <cellStyle name="Normal 6 2 10 3" xfId="9308" xr:uid="{00000000-0005-0000-0000-0000DE2B0000}"/>
    <cellStyle name="Normal 6 2 11" xfId="4301" xr:uid="{00000000-0005-0000-0000-0000DF2B0000}"/>
    <cellStyle name="Normal 6 2 12" xfId="8065" xr:uid="{00000000-0005-0000-0000-0000E02B0000}"/>
    <cellStyle name="Normal 6 2 2" xfId="292" xr:uid="{00000000-0005-0000-0000-0000E12B0000}"/>
    <cellStyle name="Normal 6 2 2 10" xfId="8155" xr:uid="{00000000-0005-0000-0000-0000E22B0000}"/>
    <cellStyle name="Normal 6 2 2 2" xfId="293" xr:uid="{00000000-0005-0000-0000-0000E32B0000}"/>
    <cellStyle name="Normal 6 2 2 2 2" xfId="1104" xr:uid="{00000000-0005-0000-0000-0000E42B0000}"/>
    <cellStyle name="Normal 6 2 2 2 2 2" xfId="1718" xr:uid="{00000000-0005-0000-0000-0000E52B0000}"/>
    <cellStyle name="Normal 6 2 2 2 2 2 2" xfId="2944" xr:uid="{00000000-0005-0000-0000-0000E62B0000}"/>
    <cellStyle name="Normal 6 2 2 2 2 2 2 2" xfId="6804" xr:uid="{00000000-0005-0000-0000-0000E72B0000}"/>
    <cellStyle name="Normal 6 2 2 2 2 2 2 3" xfId="11756" xr:uid="{00000000-0005-0000-0000-0000E82B0000}"/>
    <cellStyle name="Normal 6 2 2 2 2 2 3" xfId="4172" xr:uid="{00000000-0005-0000-0000-0000E92B0000}"/>
    <cellStyle name="Normal 6 2 2 2 2 2 3 2" xfId="8028" xr:uid="{00000000-0005-0000-0000-0000EA2B0000}"/>
    <cellStyle name="Normal 6 2 2 2 2 2 3 3" xfId="10514" xr:uid="{00000000-0005-0000-0000-0000EB2B0000}"/>
    <cellStyle name="Normal 6 2 2 2 2 2 4" xfId="5580" xr:uid="{00000000-0005-0000-0000-0000EC2B0000}"/>
    <cellStyle name="Normal 6 2 2 2 2 2 5" xfId="9272" xr:uid="{00000000-0005-0000-0000-0000ED2B0000}"/>
    <cellStyle name="Normal 6 2 2 2 2 3" xfId="2332" xr:uid="{00000000-0005-0000-0000-0000EE2B0000}"/>
    <cellStyle name="Normal 6 2 2 2 2 3 2" xfId="6192" xr:uid="{00000000-0005-0000-0000-0000EF2B0000}"/>
    <cellStyle name="Normal 6 2 2 2 2 3 3" xfId="11108" xr:uid="{00000000-0005-0000-0000-0000F02B0000}"/>
    <cellStyle name="Normal 6 2 2 2 2 4" xfId="3560" xr:uid="{00000000-0005-0000-0000-0000F12B0000}"/>
    <cellStyle name="Normal 6 2 2 2 2 4 2" xfId="7416" xr:uid="{00000000-0005-0000-0000-0000F22B0000}"/>
    <cellStyle name="Normal 6 2 2 2 2 4 3" xfId="9866" xr:uid="{00000000-0005-0000-0000-0000F32B0000}"/>
    <cellStyle name="Normal 6 2 2 2 2 5" xfId="4968" xr:uid="{00000000-0005-0000-0000-0000F42B0000}"/>
    <cellStyle name="Normal 6 2 2 2 2 6" xfId="8623" xr:uid="{00000000-0005-0000-0000-0000F52B0000}"/>
    <cellStyle name="Normal 6 2 2 2 3" xfId="1412" xr:uid="{00000000-0005-0000-0000-0000F62B0000}"/>
    <cellStyle name="Normal 6 2 2 2 3 2" xfId="2638" xr:uid="{00000000-0005-0000-0000-0000F72B0000}"/>
    <cellStyle name="Normal 6 2 2 2 3 2 2" xfId="6498" xr:uid="{00000000-0005-0000-0000-0000F82B0000}"/>
    <cellStyle name="Normal 6 2 2 2 3 2 3" xfId="11450" xr:uid="{00000000-0005-0000-0000-0000F92B0000}"/>
    <cellStyle name="Normal 6 2 2 2 3 3" xfId="3866" xr:uid="{00000000-0005-0000-0000-0000FA2B0000}"/>
    <cellStyle name="Normal 6 2 2 2 3 3 2" xfId="7722" xr:uid="{00000000-0005-0000-0000-0000FB2B0000}"/>
    <cellStyle name="Normal 6 2 2 2 3 3 3" xfId="10208" xr:uid="{00000000-0005-0000-0000-0000FC2B0000}"/>
    <cellStyle name="Normal 6 2 2 2 3 4" xfId="5274" xr:uid="{00000000-0005-0000-0000-0000FD2B0000}"/>
    <cellStyle name="Normal 6 2 2 2 3 5" xfId="8966" xr:uid="{00000000-0005-0000-0000-0000FE2B0000}"/>
    <cellStyle name="Normal 6 2 2 2 4" xfId="754" xr:uid="{00000000-0005-0000-0000-0000FF2B0000}"/>
    <cellStyle name="Normal 6 2 2 2 4 2" xfId="4662" xr:uid="{00000000-0005-0000-0000-0000002C0000}"/>
    <cellStyle name="Normal 6 2 2 2 4 3" xfId="10820" xr:uid="{00000000-0005-0000-0000-0000012C0000}"/>
    <cellStyle name="Normal 6 2 2 2 5" xfId="2026" xr:uid="{00000000-0005-0000-0000-0000022C0000}"/>
    <cellStyle name="Normal 6 2 2 2 5 2" xfId="5886" xr:uid="{00000000-0005-0000-0000-0000032C0000}"/>
    <cellStyle name="Normal 6 2 2 2 5 3" xfId="12026" xr:uid="{00000000-0005-0000-0000-0000042C0000}"/>
    <cellStyle name="Normal 6 2 2 2 6" xfId="3253" xr:uid="{00000000-0005-0000-0000-0000052C0000}"/>
    <cellStyle name="Normal 6 2 2 2 6 2" xfId="7110" xr:uid="{00000000-0005-0000-0000-0000062C0000}"/>
    <cellStyle name="Normal 6 2 2 2 6 3" xfId="9578" xr:uid="{00000000-0005-0000-0000-0000072C0000}"/>
    <cellStyle name="Normal 6 2 2 2 7" xfId="8335" xr:uid="{00000000-0005-0000-0000-0000082C0000}"/>
    <cellStyle name="Normal 6 2 2 3" xfId="664" xr:uid="{00000000-0005-0000-0000-0000092C0000}"/>
    <cellStyle name="Normal 6 2 2 3 2" xfId="1014" xr:uid="{00000000-0005-0000-0000-00000A2C0000}"/>
    <cellStyle name="Normal 6 2 2 3 2 2" xfId="1628" xr:uid="{00000000-0005-0000-0000-00000B2C0000}"/>
    <cellStyle name="Normal 6 2 2 3 2 2 2" xfId="2854" xr:uid="{00000000-0005-0000-0000-00000C2C0000}"/>
    <cellStyle name="Normal 6 2 2 3 2 2 2 2" xfId="6714" xr:uid="{00000000-0005-0000-0000-00000D2C0000}"/>
    <cellStyle name="Normal 6 2 2 3 2 2 2 3" xfId="11666" xr:uid="{00000000-0005-0000-0000-00000E2C0000}"/>
    <cellStyle name="Normal 6 2 2 3 2 2 3" xfId="4082" xr:uid="{00000000-0005-0000-0000-00000F2C0000}"/>
    <cellStyle name="Normal 6 2 2 3 2 2 3 2" xfId="7938" xr:uid="{00000000-0005-0000-0000-0000102C0000}"/>
    <cellStyle name="Normal 6 2 2 3 2 2 3 3" xfId="10424" xr:uid="{00000000-0005-0000-0000-0000112C0000}"/>
    <cellStyle name="Normal 6 2 2 3 2 2 4" xfId="5490" xr:uid="{00000000-0005-0000-0000-0000122C0000}"/>
    <cellStyle name="Normal 6 2 2 3 2 2 5" xfId="9182" xr:uid="{00000000-0005-0000-0000-0000132C0000}"/>
    <cellStyle name="Normal 6 2 2 3 2 3" xfId="2242" xr:uid="{00000000-0005-0000-0000-0000142C0000}"/>
    <cellStyle name="Normal 6 2 2 3 2 3 2" xfId="6102" xr:uid="{00000000-0005-0000-0000-0000152C0000}"/>
    <cellStyle name="Normal 6 2 2 3 2 3 3" xfId="11018" xr:uid="{00000000-0005-0000-0000-0000162C0000}"/>
    <cellStyle name="Normal 6 2 2 3 2 4" xfId="3470" xr:uid="{00000000-0005-0000-0000-0000172C0000}"/>
    <cellStyle name="Normal 6 2 2 3 2 4 2" xfId="7326" xr:uid="{00000000-0005-0000-0000-0000182C0000}"/>
    <cellStyle name="Normal 6 2 2 3 2 4 3" xfId="9776" xr:uid="{00000000-0005-0000-0000-0000192C0000}"/>
    <cellStyle name="Normal 6 2 2 3 2 5" xfId="4878" xr:uid="{00000000-0005-0000-0000-00001A2C0000}"/>
    <cellStyle name="Normal 6 2 2 3 2 6" xfId="8533" xr:uid="{00000000-0005-0000-0000-00001B2C0000}"/>
    <cellStyle name="Normal 6 2 2 3 3" xfId="1322" xr:uid="{00000000-0005-0000-0000-00001C2C0000}"/>
    <cellStyle name="Normal 6 2 2 3 3 2" xfId="2548" xr:uid="{00000000-0005-0000-0000-00001D2C0000}"/>
    <cellStyle name="Normal 6 2 2 3 3 2 2" xfId="6408" xr:uid="{00000000-0005-0000-0000-00001E2C0000}"/>
    <cellStyle name="Normal 6 2 2 3 3 2 3" xfId="11360" xr:uid="{00000000-0005-0000-0000-00001F2C0000}"/>
    <cellStyle name="Normal 6 2 2 3 3 3" xfId="3776" xr:uid="{00000000-0005-0000-0000-0000202C0000}"/>
    <cellStyle name="Normal 6 2 2 3 3 3 2" xfId="7632" xr:uid="{00000000-0005-0000-0000-0000212C0000}"/>
    <cellStyle name="Normal 6 2 2 3 3 3 3" xfId="10118" xr:uid="{00000000-0005-0000-0000-0000222C0000}"/>
    <cellStyle name="Normal 6 2 2 3 3 4" xfId="5184" xr:uid="{00000000-0005-0000-0000-0000232C0000}"/>
    <cellStyle name="Normal 6 2 2 3 3 5" xfId="8876" xr:uid="{00000000-0005-0000-0000-0000242C0000}"/>
    <cellStyle name="Normal 6 2 2 3 4" xfId="1936" xr:uid="{00000000-0005-0000-0000-0000252C0000}"/>
    <cellStyle name="Normal 6 2 2 3 4 2" xfId="5796" xr:uid="{00000000-0005-0000-0000-0000262C0000}"/>
    <cellStyle name="Normal 6 2 2 3 4 3" xfId="10730" xr:uid="{00000000-0005-0000-0000-0000272C0000}"/>
    <cellStyle name="Normal 6 2 2 3 5" xfId="3163" xr:uid="{00000000-0005-0000-0000-0000282C0000}"/>
    <cellStyle name="Normal 6 2 2 3 5 2" xfId="7020" xr:uid="{00000000-0005-0000-0000-0000292C0000}"/>
    <cellStyle name="Normal 6 2 2 3 5 3" xfId="11936" xr:uid="{00000000-0005-0000-0000-00002A2C0000}"/>
    <cellStyle name="Normal 6 2 2 3 6" xfId="4572" xr:uid="{00000000-0005-0000-0000-00002B2C0000}"/>
    <cellStyle name="Normal 6 2 2 3 6 2" xfId="9488" xr:uid="{00000000-0005-0000-0000-00002C2C0000}"/>
    <cellStyle name="Normal 6 2 2 3 7" xfId="8245" xr:uid="{00000000-0005-0000-0000-00002D2C0000}"/>
    <cellStyle name="Normal 6 2 2 4" xfId="923" xr:uid="{00000000-0005-0000-0000-00002E2C0000}"/>
    <cellStyle name="Normal 6 2 2 4 2" xfId="1538" xr:uid="{00000000-0005-0000-0000-00002F2C0000}"/>
    <cellStyle name="Normal 6 2 2 4 2 2" xfId="2764" xr:uid="{00000000-0005-0000-0000-0000302C0000}"/>
    <cellStyle name="Normal 6 2 2 4 2 2 2" xfId="6624" xr:uid="{00000000-0005-0000-0000-0000312C0000}"/>
    <cellStyle name="Normal 6 2 2 4 2 2 3" xfId="11576" xr:uid="{00000000-0005-0000-0000-0000322C0000}"/>
    <cellStyle name="Normal 6 2 2 4 2 3" xfId="3992" xr:uid="{00000000-0005-0000-0000-0000332C0000}"/>
    <cellStyle name="Normal 6 2 2 4 2 3 2" xfId="7848" xr:uid="{00000000-0005-0000-0000-0000342C0000}"/>
    <cellStyle name="Normal 6 2 2 4 2 3 3" xfId="10334" xr:uid="{00000000-0005-0000-0000-0000352C0000}"/>
    <cellStyle name="Normal 6 2 2 4 2 4" xfId="5400" xr:uid="{00000000-0005-0000-0000-0000362C0000}"/>
    <cellStyle name="Normal 6 2 2 4 2 5" xfId="9092" xr:uid="{00000000-0005-0000-0000-0000372C0000}"/>
    <cellStyle name="Normal 6 2 2 4 3" xfId="2152" xr:uid="{00000000-0005-0000-0000-0000382C0000}"/>
    <cellStyle name="Normal 6 2 2 4 3 2" xfId="6012" xr:uid="{00000000-0005-0000-0000-0000392C0000}"/>
    <cellStyle name="Normal 6 2 2 4 3 3" xfId="10928" xr:uid="{00000000-0005-0000-0000-00003A2C0000}"/>
    <cellStyle name="Normal 6 2 2 4 4" xfId="3380" xr:uid="{00000000-0005-0000-0000-00003B2C0000}"/>
    <cellStyle name="Normal 6 2 2 4 4 2" xfId="7236" xr:uid="{00000000-0005-0000-0000-00003C2C0000}"/>
    <cellStyle name="Normal 6 2 2 4 4 3" xfId="9686" xr:uid="{00000000-0005-0000-0000-00003D2C0000}"/>
    <cellStyle name="Normal 6 2 2 4 5" xfId="4788" xr:uid="{00000000-0005-0000-0000-00003E2C0000}"/>
    <cellStyle name="Normal 6 2 2 4 6" xfId="8443" xr:uid="{00000000-0005-0000-0000-00003F2C0000}"/>
    <cellStyle name="Normal 6 2 2 5" xfId="1232" xr:uid="{00000000-0005-0000-0000-0000402C0000}"/>
    <cellStyle name="Normal 6 2 2 5 2" xfId="2458" xr:uid="{00000000-0005-0000-0000-0000412C0000}"/>
    <cellStyle name="Normal 6 2 2 5 2 2" xfId="6318" xr:uid="{00000000-0005-0000-0000-0000422C0000}"/>
    <cellStyle name="Normal 6 2 2 5 2 3" xfId="11270" xr:uid="{00000000-0005-0000-0000-0000432C0000}"/>
    <cellStyle name="Normal 6 2 2 5 3" xfId="3686" xr:uid="{00000000-0005-0000-0000-0000442C0000}"/>
    <cellStyle name="Normal 6 2 2 5 3 2" xfId="7542" xr:uid="{00000000-0005-0000-0000-0000452C0000}"/>
    <cellStyle name="Normal 6 2 2 5 3 3" xfId="10028" xr:uid="{00000000-0005-0000-0000-0000462C0000}"/>
    <cellStyle name="Normal 6 2 2 5 4" xfId="5094" xr:uid="{00000000-0005-0000-0000-0000472C0000}"/>
    <cellStyle name="Normal 6 2 2 5 5" xfId="8786" xr:uid="{00000000-0005-0000-0000-0000482C0000}"/>
    <cellStyle name="Normal 6 2 2 6" xfId="573" xr:uid="{00000000-0005-0000-0000-0000492C0000}"/>
    <cellStyle name="Normal 6 2 2 6 2" xfId="4482" xr:uid="{00000000-0005-0000-0000-00004A2C0000}"/>
    <cellStyle name="Normal 6 2 2 6 3" xfId="10640" xr:uid="{00000000-0005-0000-0000-00004B2C0000}"/>
    <cellStyle name="Normal 6 2 2 7" xfId="1846" xr:uid="{00000000-0005-0000-0000-00004C2C0000}"/>
    <cellStyle name="Normal 6 2 2 7 2" xfId="5706" xr:uid="{00000000-0005-0000-0000-00004D2C0000}"/>
    <cellStyle name="Normal 6 2 2 7 3" xfId="11846" xr:uid="{00000000-0005-0000-0000-00004E2C0000}"/>
    <cellStyle name="Normal 6 2 2 8" xfId="3073" xr:uid="{00000000-0005-0000-0000-00004F2C0000}"/>
    <cellStyle name="Normal 6 2 2 8 2" xfId="6930" xr:uid="{00000000-0005-0000-0000-0000502C0000}"/>
    <cellStyle name="Normal 6 2 2 8 3" xfId="9398" xr:uid="{00000000-0005-0000-0000-0000512C0000}"/>
    <cellStyle name="Normal 6 2 2 9" xfId="4302" xr:uid="{00000000-0005-0000-0000-0000522C0000}"/>
    <cellStyle name="Normal 6 2 3" xfId="294" xr:uid="{00000000-0005-0000-0000-0000532C0000}"/>
    <cellStyle name="Normal 6 2 3 2" xfId="1068" xr:uid="{00000000-0005-0000-0000-0000542C0000}"/>
    <cellStyle name="Normal 6 2 3 2 2" xfId="1682" xr:uid="{00000000-0005-0000-0000-0000552C0000}"/>
    <cellStyle name="Normal 6 2 3 2 2 2" xfId="2908" xr:uid="{00000000-0005-0000-0000-0000562C0000}"/>
    <cellStyle name="Normal 6 2 3 2 2 2 2" xfId="6768" xr:uid="{00000000-0005-0000-0000-0000572C0000}"/>
    <cellStyle name="Normal 6 2 3 2 2 2 3" xfId="11720" xr:uid="{00000000-0005-0000-0000-0000582C0000}"/>
    <cellStyle name="Normal 6 2 3 2 2 3" xfId="4136" xr:uid="{00000000-0005-0000-0000-0000592C0000}"/>
    <cellStyle name="Normal 6 2 3 2 2 3 2" xfId="7992" xr:uid="{00000000-0005-0000-0000-00005A2C0000}"/>
    <cellStyle name="Normal 6 2 3 2 2 3 3" xfId="10478" xr:uid="{00000000-0005-0000-0000-00005B2C0000}"/>
    <cellStyle name="Normal 6 2 3 2 2 4" xfId="5544" xr:uid="{00000000-0005-0000-0000-00005C2C0000}"/>
    <cellStyle name="Normal 6 2 3 2 2 5" xfId="9236" xr:uid="{00000000-0005-0000-0000-00005D2C0000}"/>
    <cellStyle name="Normal 6 2 3 2 3" xfId="2296" xr:uid="{00000000-0005-0000-0000-00005E2C0000}"/>
    <cellStyle name="Normal 6 2 3 2 3 2" xfId="6156" xr:uid="{00000000-0005-0000-0000-00005F2C0000}"/>
    <cellStyle name="Normal 6 2 3 2 3 3" xfId="11072" xr:uid="{00000000-0005-0000-0000-0000602C0000}"/>
    <cellStyle name="Normal 6 2 3 2 4" xfId="3524" xr:uid="{00000000-0005-0000-0000-0000612C0000}"/>
    <cellStyle name="Normal 6 2 3 2 4 2" xfId="7380" xr:uid="{00000000-0005-0000-0000-0000622C0000}"/>
    <cellStyle name="Normal 6 2 3 2 4 3" xfId="9830" xr:uid="{00000000-0005-0000-0000-0000632C0000}"/>
    <cellStyle name="Normal 6 2 3 2 5" xfId="4932" xr:uid="{00000000-0005-0000-0000-0000642C0000}"/>
    <cellStyle name="Normal 6 2 3 2 6" xfId="8587" xr:uid="{00000000-0005-0000-0000-0000652C0000}"/>
    <cellStyle name="Normal 6 2 3 3" xfId="1376" xr:uid="{00000000-0005-0000-0000-0000662C0000}"/>
    <cellStyle name="Normal 6 2 3 3 2" xfId="2602" xr:uid="{00000000-0005-0000-0000-0000672C0000}"/>
    <cellStyle name="Normal 6 2 3 3 2 2" xfId="6462" xr:uid="{00000000-0005-0000-0000-0000682C0000}"/>
    <cellStyle name="Normal 6 2 3 3 2 3" xfId="11414" xr:uid="{00000000-0005-0000-0000-0000692C0000}"/>
    <cellStyle name="Normal 6 2 3 3 3" xfId="3830" xr:uid="{00000000-0005-0000-0000-00006A2C0000}"/>
    <cellStyle name="Normal 6 2 3 3 3 2" xfId="7686" xr:uid="{00000000-0005-0000-0000-00006B2C0000}"/>
    <cellStyle name="Normal 6 2 3 3 3 3" xfId="10172" xr:uid="{00000000-0005-0000-0000-00006C2C0000}"/>
    <cellStyle name="Normal 6 2 3 3 4" xfId="5238" xr:uid="{00000000-0005-0000-0000-00006D2C0000}"/>
    <cellStyle name="Normal 6 2 3 3 5" xfId="8930" xr:uid="{00000000-0005-0000-0000-00006E2C0000}"/>
    <cellStyle name="Normal 6 2 3 4" xfId="718" xr:uid="{00000000-0005-0000-0000-00006F2C0000}"/>
    <cellStyle name="Normal 6 2 3 4 2" xfId="4626" xr:uid="{00000000-0005-0000-0000-0000702C0000}"/>
    <cellStyle name="Normal 6 2 3 4 3" xfId="10784" xr:uid="{00000000-0005-0000-0000-0000712C0000}"/>
    <cellStyle name="Normal 6 2 3 5" xfId="1990" xr:uid="{00000000-0005-0000-0000-0000722C0000}"/>
    <cellStyle name="Normal 6 2 3 5 2" xfId="5850" xr:uid="{00000000-0005-0000-0000-0000732C0000}"/>
    <cellStyle name="Normal 6 2 3 5 3" xfId="11990" xr:uid="{00000000-0005-0000-0000-0000742C0000}"/>
    <cellStyle name="Normal 6 2 3 6" xfId="3217" xr:uid="{00000000-0005-0000-0000-0000752C0000}"/>
    <cellStyle name="Normal 6 2 3 6 2" xfId="7074" xr:uid="{00000000-0005-0000-0000-0000762C0000}"/>
    <cellStyle name="Normal 6 2 3 6 3" xfId="9542" xr:uid="{00000000-0005-0000-0000-0000772C0000}"/>
    <cellStyle name="Normal 6 2 3 7" xfId="8299" xr:uid="{00000000-0005-0000-0000-0000782C0000}"/>
    <cellStyle name="Normal 6 2 4" xfId="628" xr:uid="{00000000-0005-0000-0000-0000792C0000}"/>
    <cellStyle name="Normal 6 2 4 2" xfId="978" xr:uid="{00000000-0005-0000-0000-00007A2C0000}"/>
    <cellStyle name="Normal 6 2 4 2 2" xfId="1592" xr:uid="{00000000-0005-0000-0000-00007B2C0000}"/>
    <cellStyle name="Normal 6 2 4 2 2 2" xfId="2818" xr:uid="{00000000-0005-0000-0000-00007C2C0000}"/>
    <cellStyle name="Normal 6 2 4 2 2 2 2" xfId="6678" xr:uid="{00000000-0005-0000-0000-00007D2C0000}"/>
    <cellStyle name="Normal 6 2 4 2 2 2 3" xfId="11630" xr:uid="{00000000-0005-0000-0000-00007E2C0000}"/>
    <cellStyle name="Normal 6 2 4 2 2 3" xfId="4046" xr:uid="{00000000-0005-0000-0000-00007F2C0000}"/>
    <cellStyle name="Normal 6 2 4 2 2 3 2" xfId="7902" xr:uid="{00000000-0005-0000-0000-0000802C0000}"/>
    <cellStyle name="Normal 6 2 4 2 2 3 3" xfId="10388" xr:uid="{00000000-0005-0000-0000-0000812C0000}"/>
    <cellStyle name="Normal 6 2 4 2 2 4" xfId="5454" xr:uid="{00000000-0005-0000-0000-0000822C0000}"/>
    <cellStyle name="Normal 6 2 4 2 2 5" xfId="9146" xr:uid="{00000000-0005-0000-0000-0000832C0000}"/>
    <cellStyle name="Normal 6 2 4 2 3" xfId="2206" xr:uid="{00000000-0005-0000-0000-0000842C0000}"/>
    <cellStyle name="Normal 6 2 4 2 3 2" xfId="6066" xr:uid="{00000000-0005-0000-0000-0000852C0000}"/>
    <cellStyle name="Normal 6 2 4 2 3 3" xfId="10982" xr:uid="{00000000-0005-0000-0000-0000862C0000}"/>
    <cellStyle name="Normal 6 2 4 2 4" xfId="3434" xr:uid="{00000000-0005-0000-0000-0000872C0000}"/>
    <cellStyle name="Normal 6 2 4 2 4 2" xfId="7290" xr:uid="{00000000-0005-0000-0000-0000882C0000}"/>
    <cellStyle name="Normal 6 2 4 2 4 3" xfId="9740" xr:uid="{00000000-0005-0000-0000-0000892C0000}"/>
    <cellStyle name="Normal 6 2 4 2 5" xfId="4842" xr:uid="{00000000-0005-0000-0000-00008A2C0000}"/>
    <cellStyle name="Normal 6 2 4 2 6" xfId="8497" xr:uid="{00000000-0005-0000-0000-00008B2C0000}"/>
    <cellStyle name="Normal 6 2 4 3" xfId="1286" xr:uid="{00000000-0005-0000-0000-00008C2C0000}"/>
    <cellStyle name="Normal 6 2 4 3 2" xfId="2512" xr:uid="{00000000-0005-0000-0000-00008D2C0000}"/>
    <cellStyle name="Normal 6 2 4 3 2 2" xfId="6372" xr:uid="{00000000-0005-0000-0000-00008E2C0000}"/>
    <cellStyle name="Normal 6 2 4 3 2 3" xfId="11324" xr:uid="{00000000-0005-0000-0000-00008F2C0000}"/>
    <cellStyle name="Normal 6 2 4 3 3" xfId="3740" xr:uid="{00000000-0005-0000-0000-0000902C0000}"/>
    <cellStyle name="Normal 6 2 4 3 3 2" xfId="7596" xr:uid="{00000000-0005-0000-0000-0000912C0000}"/>
    <cellStyle name="Normal 6 2 4 3 3 3" xfId="10082" xr:uid="{00000000-0005-0000-0000-0000922C0000}"/>
    <cellStyle name="Normal 6 2 4 3 4" xfId="5148" xr:uid="{00000000-0005-0000-0000-0000932C0000}"/>
    <cellStyle name="Normal 6 2 4 3 5" xfId="8840" xr:uid="{00000000-0005-0000-0000-0000942C0000}"/>
    <cellStyle name="Normal 6 2 4 4" xfId="1900" xr:uid="{00000000-0005-0000-0000-0000952C0000}"/>
    <cellStyle name="Normal 6 2 4 4 2" xfId="5760" xr:uid="{00000000-0005-0000-0000-0000962C0000}"/>
    <cellStyle name="Normal 6 2 4 4 3" xfId="10694" xr:uid="{00000000-0005-0000-0000-0000972C0000}"/>
    <cellStyle name="Normal 6 2 4 5" xfId="3127" xr:uid="{00000000-0005-0000-0000-0000982C0000}"/>
    <cellStyle name="Normal 6 2 4 5 2" xfId="6984" xr:uid="{00000000-0005-0000-0000-0000992C0000}"/>
    <cellStyle name="Normal 6 2 4 5 3" xfId="11900" xr:uid="{00000000-0005-0000-0000-00009A2C0000}"/>
    <cellStyle name="Normal 6 2 4 6" xfId="4536" xr:uid="{00000000-0005-0000-0000-00009B2C0000}"/>
    <cellStyle name="Normal 6 2 4 6 2" xfId="9452" xr:uid="{00000000-0005-0000-0000-00009C2C0000}"/>
    <cellStyle name="Normal 6 2 4 7" xfId="8209" xr:uid="{00000000-0005-0000-0000-00009D2C0000}"/>
    <cellStyle name="Normal 6 2 5" xfId="519" xr:uid="{00000000-0005-0000-0000-00009E2C0000}"/>
    <cellStyle name="Normal 6 2 5 2" xfId="869" xr:uid="{00000000-0005-0000-0000-00009F2C0000}"/>
    <cellStyle name="Normal 6 2 5 2 2" xfId="1502" xr:uid="{00000000-0005-0000-0000-0000A02C0000}"/>
    <cellStyle name="Normal 6 2 5 2 2 2" xfId="2728" xr:uid="{00000000-0005-0000-0000-0000A12C0000}"/>
    <cellStyle name="Normal 6 2 5 2 2 2 2" xfId="6588" xr:uid="{00000000-0005-0000-0000-0000A22C0000}"/>
    <cellStyle name="Normal 6 2 5 2 2 2 3" xfId="11540" xr:uid="{00000000-0005-0000-0000-0000A32C0000}"/>
    <cellStyle name="Normal 6 2 5 2 2 3" xfId="3956" xr:uid="{00000000-0005-0000-0000-0000A42C0000}"/>
    <cellStyle name="Normal 6 2 5 2 2 3 2" xfId="7812" xr:uid="{00000000-0005-0000-0000-0000A52C0000}"/>
    <cellStyle name="Normal 6 2 5 2 2 3 3" xfId="10298" xr:uid="{00000000-0005-0000-0000-0000A62C0000}"/>
    <cellStyle name="Normal 6 2 5 2 2 4" xfId="5364" xr:uid="{00000000-0005-0000-0000-0000A72C0000}"/>
    <cellStyle name="Normal 6 2 5 2 2 5" xfId="9056" xr:uid="{00000000-0005-0000-0000-0000A82C0000}"/>
    <cellStyle name="Normal 6 2 5 2 3" xfId="2116" xr:uid="{00000000-0005-0000-0000-0000A92C0000}"/>
    <cellStyle name="Normal 6 2 5 2 3 2" xfId="5976" xr:uid="{00000000-0005-0000-0000-0000AA2C0000}"/>
    <cellStyle name="Normal 6 2 5 2 3 3" xfId="11144" xr:uid="{00000000-0005-0000-0000-0000AB2C0000}"/>
    <cellStyle name="Normal 6 2 5 2 4" xfId="3344" xr:uid="{00000000-0005-0000-0000-0000AC2C0000}"/>
    <cellStyle name="Normal 6 2 5 2 4 2" xfId="7200" xr:uid="{00000000-0005-0000-0000-0000AD2C0000}"/>
    <cellStyle name="Normal 6 2 5 2 4 3" xfId="9902" xr:uid="{00000000-0005-0000-0000-0000AE2C0000}"/>
    <cellStyle name="Normal 6 2 5 2 5" xfId="4752" xr:uid="{00000000-0005-0000-0000-0000AF2C0000}"/>
    <cellStyle name="Normal 6 2 5 2 6" xfId="8660" xr:uid="{00000000-0005-0000-0000-0000B02C0000}"/>
    <cellStyle name="Normal 6 2 5 3" xfId="1196" xr:uid="{00000000-0005-0000-0000-0000B12C0000}"/>
    <cellStyle name="Normal 6 2 5 3 2" xfId="2422" xr:uid="{00000000-0005-0000-0000-0000B22C0000}"/>
    <cellStyle name="Normal 6 2 5 3 2 2" xfId="6282" xr:uid="{00000000-0005-0000-0000-0000B32C0000}"/>
    <cellStyle name="Normal 6 2 5 3 2 3" xfId="11234" xr:uid="{00000000-0005-0000-0000-0000B42C0000}"/>
    <cellStyle name="Normal 6 2 5 3 3" xfId="3650" xr:uid="{00000000-0005-0000-0000-0000B52C0000}"/>
    <cellStyle name="Normal 6 2 5 3 3 2" xfId="7506" xr:uid="{00000000-0005-0000-0000-0000B62C0000}"/>
    <cellStyle name="Normal 6 2 5 3 3 3" xfId="9992" xr:uid="{00000000-0005-0000-0000-0000B72C0000}"/>
    <cellStyle name="Normal 6 2 5 3 4" xfId="5058" xr:uid="{00000000-0005-0000-0000-0000B82C0000}"/>
    <cellStyle name="Normal 6 2 5 3 5" xfId="8750" xr:uid="{00000000-0005-0000-0000-0000B92C0000}"/>
    <cellStyle name="Normal 6 2 5 4" xfId="1810" xr:uid="{00000000-0005-0000-0000-0000BA2C0000}"/>
    <cellStyle name="Normal 6 2 5 4 2" xfId="5670" xr:uid="{00000000-0005-0000-0000-0000BB2C0000}"/>
    <cellStyle name="Normal 6 2 5 4 2 2" xfId="11126" xr:uid="{00000000-0005-0000-0000-0000BC2C0000}"/>
    <cellStyle name="Normal 6 2 5 4 3" xfId="9884" xr:uid="{00000000-0005-0000-0000-0000BD2C0000}"/>
    <cellStyle name="Normal 6 2 5 4 4" xfId="8641" xr:uid="{00000000-0005-0000-0000-0000BE2C0000}"/>
    <cellStyle name="Normal 6 2 5 5" xfId="3037" xr:uid="{00000000-0005-0000-0000-0000BF2C0000}"/>
    <cellStyle name="Normal 6 2 5 5 2" xfId="6894" xr:uid="{00000000-0005-0000-0000-0000C02C0000}"/>
    <cellStyle name="Normal 6 2 5 5 3" xfId="10604" xr:uid="{00000000-0005-0000-0000-0000C12C0000}"/>
    <cellStyle name="Normal 6 2 5 6" xfId="4446" xr:uid="{00000000-0005-0000-0000-0000C22C0000}"/>
    <cellStyle name="Normal 6 2 5 6 2" xfId="9362" xr:uid="{00000000-0005-0000-0000-0000C32C0000}"/>
    <cellStyle name="Normal 6 2 5 7" xfId="8119" xr:uid="{00000000-0005-0000-0000-0000C42C0000}"/>
    <cellStyle name="Normal 6 2 6" xfId="810" xr:uid="{00000000-0005-0000-0000-0000C52C0000}"/>
    <cellStyle name="Normal 6 2 6 2" xfId="1448" xr:uid="{00000000-0005-0000-0000-0000C62C0000}"/>
    <cellStyle name="Normal 6 2 6 2 2" xfId="2674" xr:uid="{00000000-0005-0000-0000-0000C72C0000}"/>
    <cellStyle name="Normal 6 2 6 2 2 2" xfId="6534" xr:uid="{00000000-0005-0000-0000-0000C82C0000}"/>
    <cellStyle name="Normal 6 2 6 2 2 3" xfId="11486" xr:uid="{00000000-0005-0000-0000-0000C92C0000}"/>
    <cellStyle name="Normal 6 2 6 2 3" xfId="3902" xr:uid="{00000000-0005-0000-0000-0000CA2C0000}"/>
    <cellStyle name="Normal 6 2 6 2 3 2" xfId="7758" xr:uid="{00000000-0005-0000-0000-0000CB2C0000}"/>
    <cellStyle name="Normal 6 2 6 2 3 3" xfId="10244" xr:uid="{00000000-0005-0000-0000-0000CC2C0000}"/>
    <cellStyle name="Normal 6 2 6 2 4" xfId="5310" xr:uid="{00000000-0005-0000-0000-0000CD2C0000}"/>
    <cellStyle name="Normal 6 2 6 2 5" xfId="9002" xr:uid="{00000000-0005-0000-0000-0000CE2C0000}"/>
    <cellStyle name="Normal 6 2 6 3" xfId="2062" xr:uid="{00000000-0005-0000-0000-0000CF2C0000}"/>
    <cellStyle name="Normal 6 2 6 3 2" xfId="5922" xr:uid="{00000000-0005-0000-0000-0000D02C0000}"/>
    <cellStyle name="Normal 6 2 6 3 3" xfId="10892" xr:uid="{00000000-0005-0000-0000-0000D12C0000}"/>
    <cellStyle name="Normal 6 2 6 4" xfId="3290" xr:uid="{00000000-0005-0000-0000-0000D22C0000}"/>
    <cellStyle name="Normal 6 2 6 4 2" xfId="7146" xr:uid="{00000000-0005-0000-0000-0000D32C0000}"/>
    <cellStyle name="Normal 6 2 6 4 3" xfId="9650" xr:uid="{00000000-0005-0000-0000-0000D42C0000}"/>
    <cellStyle name="Normal 6 2 6 5" xfId="4698" xr:uid="{00000000-0005-0000-0000-0000D52C0000}"/>
    <cellStyle name="Normal 6 2 6 6" xfId="8407" xr:uid="{00000000-0005-0000-0000-0000D62C0000}"/>
    <cellStyle name="Normal 6 2 7" xfId="1142" xr:uid="{00000000-0005-0000-0000-0000D72C0000}"/>
    <cellStyle name="Normal 6 2 7 2" xfId="2368" xr:uid="{00000000-0005-0000-0000-0000D82C0000}"/>
    <cellStyle name="Normal 6 2 7 2 2" xfId="6228" xr:uid="{00000000-0005-0000-0000-0000D92C0000}"/>
    <cellStyle name="Normal 6 2 7 2 3" xfId="11180" xr:uid="{00000000-0005-0000-0000-0000DA2C0000}"/>
    <cellStyle name="Normal 6 2 7 3" xfId="3596" xr:uid="{00000000-0005-0000-0000-0000DB2C0000}"/>
    <cellStyle name="Normal 6 2 7 3 2" xfId="7452" xr:uid="{00000000-0005-0000-0000-0000DC2C0000}"/>
    <cellStyle name="Normal 6 2 7 3 3" xfId="9938" xr:uid="{00000000-0005-0000-0000-0000DD2C0000}"/>
    <cellStyle name="Normal 6 2 7 4" xfId="5004" xr:uid="{00000000-0005-0000-0000-0000DE2C0000}"/>
    <cellStyle name="Normal 6 2 7 5" xfId="8696" xr:uid="{00000000-0005-0000-0000-0000DF2C0000}"/>
    <cellStyle name="Normal 6 2 8" xfId="460" xr:uid="{00000000-0005-0000-0000-0000E02C0000}"/>
    <cellStyle name="Normal 6 2 8 2" xfId="4392" xr:uid="{00000000-0005-0000-0000-0000E12C0000}"/>
    <cellStyle name="Normal 6 2 8 3" xfId="10550" xr:uid="{00000000-0005-0000-0000-0000E22C0000}"/>
    <cellStyle name="Normal 6 2 9" xfId="1756" xr:uid="{00000000-0005-0000-0000-0000E32C0000}"/>
    <cellStyle name="Normal 6 2 9 2" xfId="5616" xr:uid="{00000000-0005-0000-0000-0000E42C0000}"/>
    <cellStyle name="Normal 6 2 9 3" xfId="11810" xr:uid="{00000000-0005-0000-0000-0000E52C0000}"/>
    <cellStyle name="Normal 6 3" xfId="295" xr:uid="{00000000-0005-0000-0000-0000E62C0000}"/>
    <cellStyle name="Normal 6 3 2" xfId="736" xr:uid="{00000000-0005-0000-0000-0000E72C0000}"/>
    <cellStyle name="Normal 6 3 2 2" xfId="1086" xr:uid="{00000000-0005-0000-0000-0000E82C0000}"/>
    <cellStyle name="Normal 6 3 2 2 2" xfId="1700" xr:uid="{00000000-0005-0000-0000-0000E92C0000}"/>
    <cellStyle name="Normal 6 3 2 2 2 2" xfId="2926" xr:uid="{00000000-0005-0000-0000-0000EA2C0000}"/>
    <cellStyle name="Normal 6 3 2 2 2 2 2" xfId="6786" xr:uid="{00000000-0005-0000-0000-0000EB2C0000}"/>
    <cellStyle name="Normal 6 3 2 2 2 2 3" xfId="11738" xr:uid="{00000000-0005-0000-0000-0000EC2C0000}"/>
    <cellStyle name="Normal 6 3 2 2 2 3" xfId="4154" xr:uid="{00000000-0005-0000-0000-0000ED2C0000}"/>
    <cellStyle name="Normal 6 3 2 2 2 3 2" xfId="8010" xr:uid="{00000000-0005-0000-0000-0000EE2C0000}"/>
    <cellStyle name="Normal 6 3 2 2 2 3 3" xfId="10496" xr:uid="{00000000-0005-0000-0000-0000EF2C0000}"/>
    <cellStyle name="Normal 6 3 2 2 2 4" xfId="5562" xr:uid="{00000000-0005-0000-0000-0000F02C0000}"/>
    <cellStyle name="Normal 6 3 2 2 2 5" xfId="9254" xr:uid="{00000000-0005-0000-0000-0000F12C0000}"/>
    <cellStyle name="Normal 6 3 2 2 3" xfId="2314" xr:uid="{00000000-0005-0000-0000-0000F22C0000}"/>
    <cellStyle name="Normal 6 3 2 2 3 2" xfId="6174" xr:uid="{00000000-0005-0000-0000-0000F32C0000}"/>
    <cellStyle name="Normal 6 3 2 2 3 3" xfId="11090" xr:uid="{00000000-0005-0000-0000-0000F42C0000}"/>
    <cellStyle name="Normal 6 3 2 2 4" xfId="3542" xr:uid="{00000000-0005-0000-0000-0000F52C0000}"/>
    <cellStyle name="Normal 6 3 2 2 4 2" xfId="7398" xr:uid="{00000000-0005-0000-0000-0000F62C0000}"/>
    <cellStyle name="Normal 6 3 2 2 4 3" xfId="9848" xr:uid="{00000000-0005-0000-0000-0000F72C0000}"/>
    <cellStyle name="Normal 6 3 2 2 5" xfId="4950" xr:uid="{00000000-0005-0000-0000-0000F82C0000}"/>
    <cellStyle name="Normal 6 3 2 2 6" xfId="8605" xr:uid="{00000000-0005-0000-0000-0000F92C0000}"/>
    <cellStyle name="Normal 6 3 2 3" xfId="1394" xr:uid="{00000000-0005-0000-0000-0000FA2C0000}"/>
    <cellStyle name="Normal 6 3 2 3 2" xfId="2620" xr:uid="{00000000-0005-0000-0000-0000FB2C0000}"/>
    <cellStyle name="Normal 6 3 2 3 2 2" xfId="6480" xr:uid="{00000000-0005-0000-0000-0000FC2C0000}"/>
    <cellStyle name="Normal 6 3 2 3 2 3" xfId="11432" xr:uid="{00000000-0005-0000-0000-0000FD2C0000}"/>
    <cellStyle name="Normal 6 3 2 3 3" xfId="3848" xr:uid="{00000000-0005-0000-0000-0000FE2C0000}"/>
    <cellStyle name="Normal 6 3 2 3 3 2" xfId="7704" xr:uid="{00000000-0005-0000-0000-0000FF2C0000}"/>
    <cellStyle name="Normal 6 3 2 3 3 3" xfId="10190" xr:uid="{00000000-0005-0000-0000-0000002D0000}"/>
    <cellStyle name="Normal 6 3 2 3 4" xfId="5256" xr:uid="{00000000-0005-0000-0000-0000012D0000}"/>
    <cellStyle name="Normal 6 3 2 3 5" xfId="8948" xr:uid="{00000000-0005-0000-0000-0000022D0000}"/>
    <cellStyle name="Normal 6 3 2 4" xfId="2008" xr:uid="{00000000-0005-0000-0000-0000032D0000}"/>
    <cellStyle name="Normal 6 3 2 4 2" xfId="5868" xr:uid="{00000000-0005-0000-0000-0000042D0000}"/>
    <cellStyle name="Normal 6 3 2 4 3" xfId="10802" xr:uid="{00000000-0005-0000-0000-0000052D0000}"/>
    <cellStyle name="Normal 6 3 2 5" xfId="3235" xr:uid="{00000000-0005-0000-0000-0000062D0000}"/>
    <cellStyle name="Normal 6 3 2 5 2" xfId="7092" xr:uid="{00000000-0005-0000-0000-0000072D0000}"/>
    <cellStyle name="Normal 6 3 2 5 3" xfId="12008" xr:uid="{00000000-0005-0000-0000-0000082D0000}"/>
    <cellStyle name="Normal 6 3 2 6" xfId="4644" xr:uid="{00000000-0005-0000-0000-0000092D0000}"/>
    <cellStyle name="Normal 6 3 2 6 2" xfId="9560" xr:uid="{00000000-0005-0000-0000-00000A2D0000}"/>
    <cellStyle name="Normal 6 3 2 7" xfId="8317" xr:uid="{00000000-0005-0000-0000-00000B2D0000}"/>
    <cellStyle name="Normal 6 3 3" xfId="646" xr:uid="{00000000-0005-0000-0000-00000C2D0000}"/>
    <cellStyle name="Normal 6 3 3 2" xfId="996" xr:uid="{00000000-0005-0000-0000-00000D2D0000}"/>
    <cellStyle name="Normal 6 3 3 2 2" xfId="1610" xr:uid="{00000000-0005-0000-0000-00000E2D0000}"/>
    <cellStyle name="Normal 6 3 3 2 2 2" xfId="2836" xr:uid="{00000000-0005-0000-0000-00000F2D0000}"/>
    <cellStyle name="Normal 6 3 3 2 2 2 2" xfId="6696" xr:uid="{00000000-0005-0000-0000-0000102D0000}"/>
    <cellStyle name="Normal 6 3 3 2 2 2 3" xfId="11648" xr:uid="{00000000-0005-0000-0000-0000112D0000}"/>
    <cellStyle name="Normal 6 3 3 2 2 3" xfId="4064" xr:uid="{00000000-0005-0000-0000-0000122D0000}"/>
    <cellStyle name="Normal 6 3 3 2 2 3 2" xfId="7920" xr:uid="{00000000-0005-0000-0000-0000132D0000}"/>
    <cellStyle name="Normal 6 3 3 2 2 3 3" xfId="10406" xr:uid="{00000000-0005-0000-0000-0000142D0000}"/>
    <cellStyle name="Normal 6 3 3 2 2 4" xfId="5472" xr:uid="{00000000-0005-0000-0000-0000152D0000}"/>
    <cellStyle name="Normal 6 3 3 2 2 5" xfId="9164" xr:uid="{00000000-0005-0000-0000-0000162D0000}"/>
    <cellStyle name="Normal 6 3 3 2 3" xfId="2224" xr:uid="{00000000-0005-0000-0000-0000172D0000}"/>
    <cellStyle name="Normal 6 3 3 2 3 2" xfId="6084" xr:uid="{00000000-0005-0000-0000-0000182D0000}"/>
    <cellStyle name="Normal 6 3 3 2 3 3" xfId="11000" xr:uid="{00000000-0005-0000-0000-0000192D0000}"/>
    <cellStyle name="Normal 6 3 3 2 4" xfId="3452" xr:uid="{00000000-0005-0000-0000-00001A2D0000}"/>
    <cellStyle name="Normal 6 3 3 2 4 2" xfId="7308" xr:uid="{00000000-0005-0000-0000-00001B2D0000}"/>
    <cellStyle name="Normal 6 3 3 2 4 3" xfId="9758" xr:uid="{00000000-0005-0000-0000-00001C2D0000}"/>
    <cellStyle name="Normal 6 3 3 2 5" xfId="4860" xr:uid="{00000000-0005-0000-0000-00001D2D0000}"/>
    <cellStyle name="Normal 6 3 3 2 6" xfId="8515" xr:uid="{00000000-0005-0000-0000-00001E2D0000}"/>
    <cellStyle name="Normal 6 3 3 3" xfId="1304" xr:uid="{00000000-0005-0000-0000-00001F2D0000}"/>
    <cellStyle name="Normal 6 3 3 3 2" xfId="2530" xr:uid="{00000000-0005-0000-0000-0000202D0000}"/>
    <cellStyle name="Normal 6 3 3 3 2 2" xfId="6390" xr:uid="{00000000-0005-0000-0000-0000212D0000}"/>
    <cellStyle name="Normal 6 3 3 3 2 3" xfId="11342" xr:uid="{00000000-0005-0000-0000-0000222D0000}"/>
    <cellStyle name="Normal 6 3 3 3 3" xfId="3758" xr:uid="{00000000-0005-0000-0000-0000232D0000}"/>
    <cellStyle name="Normal 6 3 3 3 3 2" xfId="7614" xr:uid="{00000000-0005-0000-0000-0000242D0000}"/>
    <cellStyle name="Normal 6 3 3 3 3 3" xfId="10100" xr:uid="{00000000-0005-0000-0000-0000252D0000}"/>
    <cellStyle name="Normal 6 3 3 3 4" xfId="5166" xr:uid="{00000000-0005-0000-0000-0000262D0000}"/>
    <cellStyle name="Normal 6 3 3 3 5" xfId="8858" xr:uid="{00000000-0005-0000-0000-0000272D0000}"/>
    <cellStyle name="Normal 6 3 3 4" xfId="1918" xr:uid="{00000000-0005-0000-0000-0000282D0000}"/>
    <cellStyle name="Normal 6 3 3 4 2" xfId="5778" xr:uid="{00000000-0005-0000-0000-0000292D0000}"/>
    <cellStyle name="Normal 6 3 3 4 3" xfId="10712" xr:uid="{00000000-0005-0000-0000-00002A2D0000}"/>
    <cellStyle name="Normal 6 3 3 5" xfId="3145" xr:uid="{00000000-0005-0000-0000-00002B2D0000}"/>
    <cellStyle name="Normal 6 3 3 5 2" xfId="7002" xr:uid="{00000000-0005-0000-0000-00002C2D0000}"/>
    <cellStyle name="Normal 6 3 3 5 3" xfId="11918" xr:uid="{00000000-0005-0000-0000-00002D2D0000}"/>
    <cellStyle name="Normal 6 3 3 6" xfId="4554" xr:uid="{00000000-0005-0000-0000-00002E2D0000}"/>
    <cellStyle name="Normal 6 3 3 6 2" xfId="9470" xr:uid="{00000000-0005-0000-0000-00002F2D0000}"/>
    <cellStyle name="Normal 6 3 3 7" xfId="8227" xr:uid="{00000000-0005-0000-0000-0000302D0000}"/>
    <cellStyle name="Normal 6 3 4" xfId="905" xr:uid="{00000000-0005-0000-0000-0000312D0000}"/>
    <cellStyle name="Normal 6 3 4 2" xfId="1520" xr:uid="{00000000-0005-0000-0000-0000322D0000}"/>
    <cellStyle name="Normal 6 3 4 2 2" xfId="2746" xr:uid="{00000000-0005-0000-0000-0000332D0000}"/>
    <cellStyle name="Normal 6 3 4 2 2 2" xfId="6606" xr:uid="{00000000-0005-0000-0000-0000342D0000}"/>
    <cellStyle name="Normal 6 3 4 2 2 3" xfId="11558" xr:uid="{00000000-0005-0000-0000-0000352D0000}"/>
    <cellStyle name="Normal 6 3 4 2 3" xfId="3974" xr:uid="{00000000-0005-0000-0000-0000362D0000}"/>
    <cellStyle name="Normal 6 3 4 2 3 2" xfId="7830" xr:uid="{00000000-0005-0000-0000-0000372D0000}"/>
    <cellStyle name="Normal 6 3 4 2 3 3" xfId="10316" xr:uid="{00000000-0005-0000-0000-0000382D0000}"/>
    <cellStyle name="Normal 6 3 4 2 4" xfId="5382" xr:uid="{00000000-0005-0000-0000-0000392D0000}"/>
    <cellStyle name="Normal 6 3 4 2 5" xfId="9074" xr:uid="{00000000-0005-0000-0000-00003A2D0000}"/>
    <cellStyle name="Normal 6 3 4 3" xfId="2134" xr:uid="{00000000-0005-0000-0000-00003B2D0000}"/>
    <cellStyle name="Normal 6 3 4 3 2" xfId="5994" xr:uid="{00000000-0005-0000-0000-00003C2D0000}"/>
    <cellStyle name="Normal 6 3 4 3 3" xfId="10910" xr:uid="{00000000-0005-0000-0000-00003D2D0000}"/>
    <cellStyle name="Normal 6 3 4 4" xfId="3362" xr:uid="{00000000-0005-0000-0000-00003E2D0000}"/>
    <cellStyle name="Normal 6 3 4 4 2" xfId="7218" xr:uid="{00000000-0005-0000-0000-00003F2D0000}"/>
    <cellStyle name="Normal 6 3 4 4 3" xfId="9668" xr:uid="{00000000-0005-0000-0000-0000402D0000}"/>
    <cellStyle name="Normal 6 3 4 5" xfId="4770" xr:uid="{00000000-0005-0000-0000-0000412D0000}"/>
    <cellStyle name="Normal 6 3 4 6" xfId="8425" xr:uid="{00000000-0005-0000-0000-0000422D0000}"/>
    <cellStyle name="Normal 6 3 5" xfId="1214" xr:uid="{00000000-0005-0000-0000-0000432D0000}"/>
    <cellStyle name="Normal 6 3 5 2" xfId="2440" xr:uid="{00000000-0005-0000-0000-0000442D0000}"/>
    <cellStyle name="Normal 6 3 5 2 2" xfId="6300" xr:uid="{00000000-0005-0000-0000-0000452D0000}"/>
    <cellStyle name="Normal 6 3 5 2 3" xfId="11252" xr:uid="{00000000-0005-0000-0000-0000462D0000}"/>
    <cellStyle name="Normal 6 3 5 3" xfId="3668" xr:uid="{00000000-0005-0000-0000-0000472D0000}"/>
    <cellStyle name="Normal 6 3 5 3 2" xfId="7524" xr:uid="{00000000-0005-0000-0000-0000482D0000}"/>
    <cellStyle name="Normal 6 3 5 3 3" xfId="10010" xr:uid="{00000000-0005-0000-0000-0000492D0000}"/>
    <cellStyle name="Normal 6 3 5 4" xfId="5076" xr:uid="{00000000-0005-0000-0000-00004A2D0000}"/>
    <cellStyle name="Normal 6 3 5 5" xfId="8768" xr:uid="{00000000-0005-0000-0000-00004B2D0000}"/>
    <cellStyle name="Normal 6 3 6" xfId="555" xr:uid="{00000000-0005-0000-0000-00004C2D0000}"/>
    <cellStyle name="Normal 6 3 6 2" xfId="4464" xr:uid="{00000000-0005-0000-0000-00004D2D0000}"/>
    <cellStyle name="Normal 6 3 6 3" xfId="10622" xr:uid="{00000000-0005-0000-0000-00004E2D0000}"/>
    <cellStyle name="Normal 6 3 7" xfId="1828" xr:uid="{00000000-0005-0000-0000-00004F2D0000}"/>
    <cellStyle name="Normal 6 3 7 2" xfId="5688" xr:uid="{00000000-0005-0000-0000-0000502D0000}"/>
    <cellStyle name="Normal 6 3 7 3" xfId="11828" xr:uid="{00000000-0005-0000-0000-0000512D0000}"/>
    <cellStyle name="Normal 6 3 8" xfId="3055" xr:uid="{00000000-0005-0000-0000-0000522D0000}"/>
    <cellStyle name="Normal 6 3 8 2" xfId="6912" xr:uid="{00000000-0005-0000-0000-0000532D0000}"/>
    <cellStyle name="Normal 6 3 8 3" xfId="9380" xr:uid="{00000000-0005-0000-0000-0000542D0000}"/>
    <cellStyle name="Normal 6 3 9" xfId="8137" xr:uid="{00000000-0005-0000-0000-0000552D0000}"/>
    <cellStyle name="Normal 6 4" xfId="296" xr:uid="{00000000-0005-0000-0000-0000562D0000}"/>
    <cellStyle name="Normal 6 4 10" xfId="8101" xr:uid="{00000000-0005-0000-0000-0000572D0000}"/>
    <cellStyle name="Normal 6 4 2" xfId="700" xr:uid="{00000000-0005-0000-0000-0000582D0000}"/>
    <cellStyle name="Normal 6 4 2 2" xfId="1050" xr:uid="{00000000-0005-0000-0000-0000592D0000}"/>
    <cellStyle name="Normal 6 4 2 2 2" xfId="1664" xr:uid="{00000000-0005-0000-0000-00005A2D0000}"/>
    <cellStyle name="Normal 6 4 2 2 2 2" xfId="2890" xr:uid="{00000000-0005-0000-0000-00005B2D0000}"/>
    <cellStyle name="Normal 6 4 2 2 2 2 2" xfId="6750" xr:uid="{00000000-0005-0000-0000-00005C2D0000}"/>
    <cellStyle name="Normal 6 4 2 2 2 2 3" xfId="11702" xr:uid="{00000000-0005-0000-0000-00005D2D0000}"/>
    <cellStyle name="Normal 6 4 2 2 2 3" xfId="4118" xr:uid="{00000000-0005-0000-0000-00005E2D0000}"/>
    <cellStyle name="Normal 6 4 2 2 2 3 2" xfId="7974" xr:uid="{00000000-0005-0000-0000-00005F2D0000}"/>
    <cellStyle name="Normal 6 4 2 2 2 3 3" xfId="10460" xr:uid="{00000000-0005-0000-0000-0000602D0000}"/>
    <cellStyle name="Normal 6 4 2 2 2 4" xfId="5526" xr:uid="{00000000-0005-0000-0000-0000612D0000}"/>
    <cellStyle name="Normal 6 4 2 2 2 5" xfId="9218" xr:uid="{00000000-0005-0000-0000-0000622D0000}"/>
    <cellStyle name="Normal 6 4 2 2 3" xfId="2278" xr:uid="{00000000-0005-0000-0000-0000632D0000}"/>
    <cellStyle name="Normal 6 4 2 2 3 2" xfId="6138" xr:uid="{00000000-0005-0000-0000-0000642D0000}"/>
    <cellStyle name="Normal 6 4 2 2 3 3" xfId="11054" xr:uid="{00000000-0005-0000-0000-0000652D0000}"/>
    <cellStyle name="Normal 6 4 2 2 4" xfId="3506" xr:uid="{00000000-0005-0000-0000-0000662D0000}"/>
    <cellStyle name="Normal 6 4 2 2 4 2" xfId="7362" xr:uid="{00000000-0005-0000-0000-0000672D0000}"/>
    <cellStyle name="Normal 6 4 2 2 4 3" xfId="9812" xr:uid="{00000000-0005-0000-0000-0000682D0000}"/>
    <cellStyle name="Normal 6 4 2 2 5" xfId="4914" xr:uid="{00000000-0005-0000-0000-0000692D0000}"/>
    <cellStyle name="Normal 6 4 2 2 6" xfId="8569" xr:uid="{00000000-0005-0000-0000-00006A2D0000}"/>
    <cellStyle name="Normal 6 4 2 3" xfId="1358" xr:uid="{00000000-0005-0000-0000-00006B2D0000}"/>
    <cellStyle name="Normal 6 4 2 3 2" xfId="2584" xr:uid="{00000000-0005-0000-0000-00006C2D0000}"/>
    <cellStyle name="Normal 6 4 2 3 2 2" xfId="6444" xr:uid="{00000000-0005-0000-0000-00006D2D0000}"/>
    <cellStyle name="Normal 6 4 2 3 2 3" xfId="11396" xr:uid="{00000000-0005-0000-0000-00006E2D0000}"/>
    <cellStyle name="Normal 6 4 2 3 3" xfId="3812" xr:uid="{00000000-0005-0000-0000-00006F2D0000}"/>
    <cellStyle name="Normal 6 4 2 3 3 2" xfId="7668" xr:uid="{00000000-0005-0000-0000-0000702D0000}"/>
    <cellStyle name="Normal 6 4 2 3 3 3" xfId="10154" xr:uid="{00000000-0005-0000-0000-0000712D0000}"/>
    <cellStyle name="Normal 6 4 2 3 4" xfId="5220" xr:uid="{00000000-0005-0000-0000-0000722D0000}"/>
    <cellStyle name="Normal 6 4 2 3 5" xfId="8912" xr:uid="{00000000-0005-0000-0000-0000732D0000}"/>
    <cellStyle name="Normal 6 4 2 4" xfId="1972" xr:uid="{00000000-0005-0000-0000-0000742D0000}"/>
    <cellStyle name="Normal 6 4 2 4 2" xfId="5832" xr:uid="{00000000-0005-0000-0000-0000752D0000}"/>
    <cellStyle name="Normal 6 4 2 4 3" xfId="10766" xr:uid="{00000000-0005-0000-0000-0000762D0000}"/>
    <cellStyle name="Normal 6 4 2 5" xfId="3199" xr:uid="{00000000-0005-0000-0000-0000772D0000}"/>
    <cellStyle name="Normal 6 4 2 5 2" xfId="7056" xr:uid="{00000000-0005-0000-0000-0000782D0000}"/>
    <cellStyle name="Normal 6 4 2 5 3" xfId="11972" xr:uid="{00000000-0005-0000-0000-0000792D0000}"/>
    <cellStyle name="Normal 6 4 2 6" xfId="4608" xr:uid="{00000000-0005-0000-0000-00007A2D0000}"/>
    <cellStyle name="Normal 6 4 2 6 2" xfId="9524" xr:uid="{00000000-0005-0000-0000-00007B2D0000}"/>
    <cellStyle name="Normal 6 4 2 7" xfId="8281" xr:uid="{00000000-0005-0000-0000-00007C2D0000}"/>
    <cellStyle name="Normal 6 4 3" xfId="610" xr:uid="{00000000-0005-0000-0000-00007D2D0000}"/>
    <cellStyle name="Normal 6 4 3 2" xfId="960" xr:uid="{00000000-0005-0000-0000-00007E2D0000}"/>
    <cellStyle name="Normal 6 4 3 2 2" xfId="1574" xr:uid="{00000000-0005-0000-0000-00007F2D0000}"/>
    <cellStyle name="Normal 6 4 3 2 2 2" xfId="2800" xr:uid="{00000000-0005-0000-0000-0000802D0000}"/>
    <cellStyle name="Normal 6 4 3 2 2 2 2" xfId="6660" xr:uid="{00000000-0005-0000-0000-0000812D0000}"/>
    <cellStyle name="Normal 6 4 3 2 2 2 3" xfId="11612" xr:uid="{00000000-0005-0000-0000-0000822D0000}"/>
    <cellStyle name="Normal 6 4 3 2 2 3" xfId="4028" xr:uid="{00000000-0005-0000-0000-0000832D0000}"/>
    <cellStyle name="Normal 6 4 3 2 2 3 2" xfId="7884" xr:uid="{00000000-0005-0000-0000-0000842D0000}"/>
    <cellStyle name="Normal 6 4 3 2 2 3 3" xfId="10370" xr:uid="{00000000-0005-0000-0000-0000852D0000}"/>
    <cellStyle name="Normal 6 4 3 2 2 4" xfId="5436" xr:uid="{00000000-0005-0000-0000-0000862D0000}"/>
    <cellStyle name="Normal 6 4 3 2 2 5" xfId="9128" xr:uid="{00000000-0005-0000-0000-0000872D0000}"/>
    <cellStyle name="Normal 6 4 3 2 3" xfId="2188" xr:uid="{00000000-0005-0000-0000-0000882D0000}"/>
    <cellStyle name="Normal 6 4 3 2 3 2" xfId="6048" xr:uid="{00000000-0005-0000-0000-0000892D0000}"/>
    <cellStyle name="Normal 6 4 3 2 3 3" xfId="10964" xr:uid="{00000000-0005-0000-0000-00008A2D0000}"/>
    <cellStyle name="Normal 6 4 3 2 4" xfId="3416" xr:uid="{00000000-0005-0000-0000-00008B2D0000}"/>
    <cellStyle name="Normal 6 4 3 2 4 2" xfId="7272" xr:uid="{00000000-0005-0000-0000-00008C2D0000}"/>
    <cellStyle name="Normal 6 4 3 2 4 3" xfId="9722" xr:uid="{00000000-0005-0000-0000-00008D2D0000}"/>
    <cellStyle name="Normal 6 4 3 2 5" xfId="4824" xr:uid="{00000000-0005-0000-0000-00008E2D0000}"/>
    <cellStyle name="Normal 6 4 3 2 6" xfId="8479" xr:uid="{00000000-0005-0000-0000-00008F2D0000}"/>
    <cellStyle name="Normal 6 4 3 3" xfId="1268" xr:uid="{00000000-0005-0000-0000-0000902D0000}"/>
    <cellStyle name="Normal 6 4 3 3 2" xfId="2494" xr:uid="{00000000-0005-0000-0000-0000912D0000}"/>
    <cellStyle name="Normal 6 4 3 3 2 2" xfId="6354" xr:uid="{00000000-0005-0000-0000-0000922D0000}"/>
    <cellStyle name="Normal 6 4 3 3 2 3" xfId="11306" xr:uid="{00000000-0005-0000-0000-0000932D0000}"/>
    <cellStyle name="Normal 6 4 3 3 3" xfId="3722" xr:uid="{00000000-0005-0000-0000-0000942D0000}"/>
    <cellStyle name="Normal 6 4 3 3 3 2" xfId="7578" xr:uid="{00000000-0005-0000-0000-0000952D0000}"/>
    <cellStyle name="Normal 6 4 3 3 3 3" xfId="10064" xr:uid="{00000000-0005-0000-0000-0000962D0000}"/>
    <cellStyle name="Normal 6 4 3 3 4" xfId="5130" xr:uid="{00000000-0005-0000-0000-0000972D0000}"/>
    <cellStyle name="Normal 6 4 3 3 5" xfId="8822" xr:uid="{00000000-0005-0000-0000-0000982D0000}"/>
    <cellStyle name="Normal 6 4 3 4" xfId="1882" xr:uid="{00000000-0005-0000-0000-0000992D0000}"/>
    <cellStyle name="Normal 6 4 3 4 2" xfId="5742" xr:uid="{00000000-0005-0000-0000-00009A2D0000}"/>
    <cellStyle name="Normal 6 4 3 4 3" xfId="10676" xr:uid="{00000000-0005-0000-0000-00009B2D0000}"/>
    <cellStyle name="Normal 6 4 3 5" xfId="3109" xr:uid="{00000000-0005-0000-0000-00009C2D0000}"/>
    <cellStyle name="Normal 6 4 3 5 2" xfId="6966" xr:uid="{00000000-0005-0000-0000-00009D2D0000}"/>
    <cellStyle name="Normal 6 4 3 5 3" xfId="11882" xr:uid="{00000000-0005-0000-0000-00009E2D0000}"/>
    <cellStyle name="Normal 6 4 3 6" xfId="4518" xr:uid="{00000000-0005-0000-0000-00009F2D0000}"/>
    <cellStyle name="Normal 6 4 3 6 2" xfId="9434" xr:uid="{00000000-0005-0000-0000-0000A02D0000}"/>
    <cellStyle name="Normal 6 4 3 7" xfId="8191" xr:uid="{00000000-0005-0000-0000-0000A12D0000}"/>
    <cellStyle name="Normal 6 4 4" xfId="848" xr:uid="{00000000-0005-0000-0000-0000A22D0000}"/>
    <cellStyle name="Normal 6 4 4 2" xfId="1484" xr:uid="{00000000-0005-0000-0000-0000A32D0000}"/>
    <cellStyle name="Normal 6 4 4 2 2" xfId="2710" xr:uid="{00000000-0005-0000-0000-0000A42D0000}"/>
    <cellStyle name="Normal 6 4 4 2 2 2" xfId="6570" xr:uid="{00000000-0005-0000-0000-0000A52D0000}"/>
    <cellStyle name="Normal 6 4 4 2 2 3" xfId="11522" xr:uid="{00000000-0005-0000-0000-0000A62D0000}"/>
    <cellStyle name="Normal 6 4 4 2 3" xfId="3938" xr:uid="{00000000-0005-0000-0000-0000A72D0000}"/>
    <cellStyle name="Normal 6 4 4 2 3 2" xfId="7794" xr:uid="{00000000-0005-0000-0000-0000A82D0000}"/>
    <cellStyle name="Normal 6 4 4 2 3 3" xfId="10280" xr:uid="{00000000-0005-0000-0000-0000A92D0000}"/>
    <cellStyle name="Normal 6 4 4 2 4" xfId="5346" xr:uid="{00000000-0005-0000-0000-0000AA2D0000}"/>
    <cellStyle name="Normal 6 4 4 2 5" xfId="9038" xr:uid="{00000000-0005-0000-0000-0000AB2D0000}"/>
    <cellStyle name="Normal 6 4 4 3" xfId="2098" xr:uid="{00000000-0005-0000-0000-0000AC2D0000}"/>
    <cellStyle name="Normal 6 4 4 3 2" xfId="5958" xr:uid="{00000000-0005-0000-0000-0000AD2D0000}"/>
    <cellStyle name="Normal 6 4 4 3 3" xfId="10874" xr:uid="{00000000-0005-0000-0000-0000AE2D0000}"/>
    <cellStyle name="Normal 6 4 4 4" xfId="3326" xr:uid="{00000000-0005-0000-0000-0000AF2D0000}"/>
    <cellStyle name="Normal 6 4 4 4 2" xfId="7182" xr:uid="{00000000-0005-0000-0000-0000B02D0000}"/>
    <cellStyle name="Normal 6 4 4 4 3" xfId="9632" xr:uid="{00000000-0005-0000-0000-0000B12D0000}"/>
    <cellStyle name="Normal 6 4 4 5" xfId="4734" xr:uid="{00000000-0005-0000-0000-0000B22D0000}"/>
    <cellStyle name="Normal 6 4 4 6" xfId="8389" xr:uid="{00000000-0005-0000-0000-0000B32D0000}"/>
    <cellStyle name="Normal 6 4 5" xfId="1178" xr:uid="{00000000-0005-0000-0000-0000B42D0000}"/>
    <cellStyle name="Normal 6 4 5 2" xfId="2404" xr:uid="{00000000-0005-0000-0000-0000B52D0000}"/>
    <cellStyle name="Normal 6 4 5 2 2" xfId="6264" xr:uid="{00000000-0005-0000-0000-0000B62D0000}"/>
    <cellStyle name="Normal 6 4 5 2 3" xfId="11216" xr:uid="{00000000-0005-0000-0000-0000B72D0000}"/>
    <cellStyle name="Normal 6 4 5 3" xfId="3632" xr:uid="{00000000-0005-0000-0000-0000B82D0000}"/>
    <cellStyle name="Normal 6 4 5 3 2" xfId="7488" xr:uid="{00000000-0005-0000-0000-0000B92D0000}"/>
    <cellStyle name="Normal 6 4 5 3 3" xfId="9974" xr:uid="{00000000-0005-0000-0000-0000BA2D0000}"/>
    <cellStyle name="Normal 6 4 5 4" xfId="5040" xr:uid="{00000000-0005-0000-0000-0000BB2D0000}"/>
    <cellStyle name="Normal 6 4 5 5" xfId="8732" xr:uid="{00000000-0005-0000-0000-0000BC2D0000}"/>
    <cellStyle name="Normal 6 4 6" xfId="498" xr:uid="{00000000-0005-0000-0000-0000BD2D0000}"/>
    <cellStyle name="Normal 6 4 6 2" xfId="4428" xr:uid="{00000000-0005-0000-0000-0000BE2D0000}"/>
    <cellStyle name="Normal 6 4 6 3" xfId="10586" xr:uid="{00000000-0005-0000-0000-0000BF2D0000}"/>
    <cellStyle name="Normal 6 4 7" xfId="1792" xr:uid="{00000000-0005-0000-0000-0000C02D0000}"/>
    <cellStyle name="Normal 6 4 7 2" xfId="5652" xr:uid="{00000000-0005-0000-0000-0000C12D0000}"/>
    <cellStyle name="Normal 6 4 7 3" xfId="11792" xr:uid="{00000000-0005-0000-0000-0000C22D0000}"/>
    <cellStyle name="Normal 6 4 8" xfId="3019" xr:uid="{00000000-0005-0000-0000-0000C32D0000}"/>
    <cellStyle name="Normal 6 4 8 2" xfId="6876" xr:uid="{00000000-0005-0000-0000-0000C42D0000}"/>
    <cellStyle name="Normal 6 4 8 3" xfId="9344" xr:uid="{00000000-0005-0000-0000-0000C52D0000}"/>
    <cellStyle name="Normal 6 4 9" xfId="4303" xr:uid="{00000000-0005-0000-0000-0000C62D0000}"/>
    <cellStyle name="Normal 6 5" xfId="682" xr:uid="{00000000-0005-0000-0000-0000C72D0000}"/>
    <cellStyle name="Normal 6 5 2" xfId="1032" xr:uid="{00000000-0005-0000-0000-0000C82D0000}"/>
    <cellStyle name="Normal 6 5 2 2" xfId="1646" xr:uid="{00000000-0005-0000-0000-0000C92D0000}"/>
    <cellStyle name="Normal 6 5 2 2 2" xfId="2872" xr:uid="{00000000-0005-0000-0000-0000CA2D0000}"/>
    <cellStyle name="Normal 6 5 2 2 2 2" xfId="6732" xr:uid="{00000000-0005-0000-0000-0000CB2D0000}"/>
    <cellStyle name="Normal 6 5 2 2 2 3" xfId="11684" xr:uid="{00000000-0005-0000-0000-0000CC2D0000}"/>
    <cellStyle name="Normal 6 5 2 2 3" xfId="4100" xr:uid="{00000000-0005-0000-0000-0000CD2D0000}"/>
    <cellStyle name="Normal 6 5 2 2 3 2" xfId="7956" xr:uid="{00000000-0005-0000-0000-0000CE2D0000}"/>
    <cellStyle name="Normal 6 5 2 2 3 3" xfId="10442" xr:uid="{00000000-0005-0000-0000-0000CF2D0000}"/>
    <cellStyle name="Normal 6 5 2 2 4" xfId="5508" xr:uid="{00000000-0005-0000-0000-0000D02D0000}"/>
    <cellStyle name="Normal 6 5 2 2 5" xfId="9200" xr:uid="{00000000-0005-0000-0000-0000D12D0000}"/>
    <cellStyle name="Normal 6 5 2 3" xfId="2260" xr:uid="{00000000-0005-0000-0000-0000D22D0000}"/>
    <cellStyle name="Normal 6 5 2 3 2" xfId="6120" xr:uid="{00000000-0005-0000-0000-0000D32D0000}"/>
    <cellStyle name="Normal 6 5 2 3 3" xfId="11036" xr:uid="{00000000-0005-0000-0000-0000D42D0000}"/>
    <cellStyle name="Normal 6 5 2 4" xfId="3488" xr:uid="{00000000-0005-0000-0000-0000D52D0000}"/>
    <cellStyle name="Normal 6 5 2 4 2" xfId="7344" xr:uid="{00000000-0005-0000-0000-0000D62D0000}"/>
    <cellStyle name="Normal 6 5 2 4 3" xfId="9794" xr:uid="{00000000-0005-0000-0000-0000D72D0000}"/>
    <cellStyle name="Normal 6 5 2 5" xfId="4896" xr:uid="{00000000-0005-0000-0000-0000D82D0000}"/>
    <cellStyle name="Normal 6 5 2 6" xfId="8551" xr:uid="{00000000-0005-0000-0000-0000D92D0000}"/>
    <cellStyle name="Normal 6 5 3" xfId="1340" xr:uid="{00000000-0005-0000-0000-0000DA2D0000}"/>
    <cellStyle name="Normal 6 5 3 2" xfId="2566" xr:uid="{00000000-0005-0000-0000-0000DB2D0000}"/>
    <cellStyle name="Normal 6 5 3 2 2" xfId="6426" xr:uid="{00000000-0005-0000-0000-0000DC2D0000}"/>
    <cellStyle name="Normal 6 5 3 2 3" xfId="11378" xr:uid="{00000000-0005-0000-0000-0000DD2D0000}"/>
    <cellStyle name="Normal 6 5 3 3" xfId="3794" xr:uid="{00000000-0005-0000-0000-0000DE2D0000}"/>
    <cellStyle name="Normal 6 5 3 3 2" xfId="7650" xr:uid="{00000000-0005-0000-0000-0000DF2D0000}"/>
    <cellStyle name="Normal 6 5 3 3 3" xfId="10136" xr:uid="{00000000-0005-0000-0000-0000E02D0000}"/>
    <cellStyle name="Normal 6 5 3 4" xfId="5202" xr:uid="{00000000-0005-0000-0000-0000E12D0000}"/>
    <cellStyle name="Normal 6 5 3 5" xfId="8894" xr:uid="{00000000-0005-0000-0000-0000E22D0000}"/>
    <cellStyle name="Normal 6 5 4" xfId="1954" xr:uid="{00000000-0005-0000-0000-0000E32D0000}"/>
    <cellStyle name="Normal 6 5 4 2" xfId="5814" xr:uid="{00000000-0005-0000-0000-0000E42D0000}"/>
    <cellStyle name="Normal 6 5 4 3" xfId="10748" xr:uid="{00000000-0005-0000-0000-0000E52D0000}"/>
    <cellStyle name="Normal 6 5 5" xfId="3181" xr:uid="{00000000-0005-0000-0000-0000E62D0000}"/>
    <cellStyle name="Normal 6 5 5 2" xfId="7038" xr:uid="{00000000-0005-0000-0000-0000E72D0000}"/>
    <cellStyle name="Normal 6 5 5 3" xfId="11954" xr:uid="{00000000-0005-0000-0000-0000E82D0000}"/>
    <cellStyle name="Normal 6 5 6" xfId="4590" xr:uid="{00000000-0005-0000-0000-0000E92D0000}"/>
    <cellStyle name="Normal 6 5 6 2" xfId="9506" xr:uid="{00000000-0005-0000-0000-0000EA2D0000}"/>
    <cellStyle name="Normal 6 5 7" xfId="8263" xr:uid="{00000000-0005-0000-0000-0000EB2D0000}"/>
    <cellStyle name="Normal 6 6" xfId="592" xr:uid="{00000000-0005-0000-0000-0000EC2D0000}"/>
    <cellStyle name="Normal 6 6 2" xfId="942" xr:uid="{00000000-0005-0000-0000-0000ED2D0000}"/>
    <cellStyle name="Normal 6 6 2 2" xfId="1556" xr:uid="{00000000-0005-0000-0000-0000EE2D0000}"/>
    <cellStyle name="Normal 6 6 2 2 2" xfId="2782" xr:uid="{00000000-0005-0000-0000-0000EF2D0000}"/>
    <cellStyle name="Normal 6 6 2 2 2 2" xfId="6642" xr:uid="{00000000-0005-0000-0000-0000F02D0000}"/>
    <cellStyle name="Normal 6 6 2 2 2 3" xfId="11594" xr:uid="{00000000-0005-0000-0000-0000F12D0000}"/>
    <cellStyle name="Normal 6 6 2 2 3" xfId="4010" xr:uid="{00000000-0005-0000-0000-0000F22D0000}"/>
    <cellStyle name="Normal 6 6 2 2 3 2" xfId="7866" xr:uid="{00000000-0005-0000-0000-0000F32D0000}"/>
    <cellStyle name="Normal 6 6 2 2 3 3" xfId="10352" xr:uid="{00000000-0005-0000-0000-0000F42D0000}"/>
    <cellStyle name="Normal 6 6 2 2 4" xfId="5418" xr:uid="{00000000-0005-0000-0000-0000F52D0000}"/>
    <cellStyle name="Normal 6 6 2 2 5" xfId="9110" xr:uid="{00000000-0005-0000-0000-0000F62D0000}"/>
    <cellStyle name="Normal 6 6 2 3" xfId="2170" xr:uid="{00000000-0005-0000-0000-0000F72D0000}"/>
    <cellStyle name="Normal 6 6 2 3 2" xfId="6030" xr:uid="{00000000-0005-0000-0000-0000F82D0000}"/>
    <cellStyle name="Normal 6 6 2 3 3" xfId="10946" xr:uid="{00000000-0005-0000-0000-0000F92D0000}"/>
    <cellStyle name="Normal 6 6 2 4" xfId="3398" xr:uid="{00000000-0005-0000-0000-0000FA2D0000}"/>
    <cellStyle name="Normal 6 6 2 4 2" xfId="7254" xr:uid="{00000000-0005-0000-0000-0000FB2D0000}"/>
    <cellStyle name="Normal 6 6 2 4 3" xfId="9704" xr:uid="{00000000-0005-0000-0000-0000FC2D0000}"/>
    <cellStyle name="Normal 6 6 2 5" xfId="4806" xr:uid="{00000000-0005-0000-0000-0000FD2D0000}"/>
    <cellStyle name="Normal 6 6 2 6" xfId="8461" xr:uid="{00000000-0005-0000-0000-0000FE2D0000}"/>
    <cellStyle name="Normal 6 6 3" xfId="1250" xr:uid="{00000000-0005-0000-0000-0000FF2D0000}"/>
    <cellStyle name="Normal 6 6 3 2" xfId="2476" xr:uid="{00000000-0005-0000-0000-0000002E0000}"/>
    <cellStyle name="Normal 6 6 3 2 2" xfId="6336" xr:uid="{00000000-0005-0000-0000-0000012E0000}"/>
    <cellStyle name="Normal 6 6 3 2 3" xfId="11288" xr:uid="{00000000-0005-0000-0000-0000022E0000}"/>
    <cellStyle name="Normal 6 6 3 3" xfId="3704" xr:uid="{00000000-0005-0000-0000-0000032E0000}"/>
    <cellStyle name="Normal 6 6 3 3 2" xfId="7560" xr:uid="{00000000-0005-0000-0000-0000042E0000}"/>
    <cellStyle name="Normal 6 6 3 3 3" xfId="10046" xr:uid="{00000000-0005-0000-0000-0000052E0000}"/>
    <cellStyle name="Normal 6 6 3 4" xfId="5112" xr:uid="{00000000-0005-0000-0000-0000062E0000}"/>
    <cellStyle name="Normal 6 6 3 5" xfId="8804" xr:uid="{00000000-0005-0000-0000-0000072E0000}"/>
    <cellStyle name="Normal 6 6 4" xfId="1864" xr:uid="{00000000-0005-0000-0000-0000082E0000}"/>
    <cellStyle name="Normal 6 6 4 2" xfId="5724" xr:uid="{00000000-0005-0000-0000-0000092E0000}"/>
    <cellStyle name="Normal 6 6 4 3" xfId="10658" xr:uid="{00000000-0005-0000-0000-00000A2E0000}"/>
    <cellStyle name="Normal 6 6 5" xfId="3091" xr:uid="{00000000-0005-0000-0000-00000B2E0000}"/>
    <cellStyle name="Normal 6 6 5 2" xfId="6948" xr:uid="{00000000-0005-0000-0000-00000C2E0000}"/>
    <cellStyle name="Normal 6 6 5 3" xfId="11864" xr:uid="{00000000-0005-0000-0000-00000D2E0000}"/>
    <cellStyle name="Normal 6 6 6" xfId="4500" xr:uid="{00000000-0005-0000-0000-00000E2E0000}"/>
    <cellStyle name="Normal 6 6 6 2" xfId="9416" xr:uid="{00000000-0005-0000-0000-00000F2E0000}"/>
    <cellStyle name="Normal 6 6 7" xfId="8173" xr:uid="{00000000-0005-0000-0000-0000102E0000}"/>
    <cellStyle name="Normal 6 7" xfId="478" xr:uid="{00000000-0005-0000-0000-0000112E0000}"/>
    <cellStyle name="Normal 6 7 2" xfId="828" xr:uid="{00000000-0005-0000-0000-0000122E0000}"/>
    <cellStyle name="Normal 6 7 2 2" xfId="1466" xr:uid="{00000000-0005-0000-0000-0000132E0000}"/>
    <cellStyle name="Normal 6 7 2 2 2" xfId="2692" xr:uid="{00000000-0005-0000-0000-0000142E0000}"/>
    <cellStyle name="Normal 6 7 2 2 2 2" xfId="6552" xr:uid="{00000000-0005-0000-0000-0000152E0000}"/>
    <cellStyle name="Normal 6 7 2 2 2 3" xfId="11504" xr:uid="{00000000-0005-0000-0000-0000162E0000}"/>
    <cellStyle name="Normal 6 7 2 2 3" xfId="3920" xr:uid="{00000000-0005-0000-0000-0000172E0000}"/>
    <cellStyle name="Normal 6 7 2 2 3 2" xfId="7776" xr:uid="{00000000-0005-0000-0000-0000182E0000}"/>
    <cellStyle name="Normal 6 7 2 2 3 3" xfId="10262" xr:uid="{00000000-0005-0000-0000-0000192E0000}"/>
    <cellStyle name="Normal 6 7 2 2 4" xfId="5328" xr:uid="{00000000-0005-0000-0000-00001A2E0000}"/>
    <cellStyle name="Normal 6 7 2 2 5" xfId="9020" xr:uid="{00000000-0005-0000-0000-00001B2E0000}"/>
    <cellStyle name="Normal 6 7 2 3" xfId="2080" xr:uid="{00000000-0005-0000-0000-00001C2E0000}"/>
    <cellStyle name="Normal 6 7 2 3 2" xfId="5940" xr:uid="{00000000-0005-0000-0000-00001D2E0000}"/>
    <cellStyle name="Normal 6 7 2 3 3" xfId="10856" xr:uid="{00000000-0005-0000-0000-00001E2E0000}"/>
    <cellStyle name="Normal 6 7 2 4" xfId="3308" xr:uid="{00000000-0005-0000-0000-00001F2E0000}"/>
    <cellStyle name="Normal 6 7 2 4 2" xfId="7164" xr:uid="{00000000-0005-0000-0000-0000202E0000}"/>
    <cellStyle name="Normal 6 7 2 4 3" xfId="9614" xr:uid="{00000000-0005-0000-0000-0000212E0000}"/>
    <cellStyle name="Normal 6 7 2 5" xfId="4716" xr:uid="{00000000-0005-0000-0000-0000222E0000}"/>
    <cellStyle name="Normal 6 7 2 6" xfId="8371" xr:uid="{00000000-0005-0000-0000-0000232E0000}"/>
    <cellStyle name="Normal 6 7 3" xfId="1160" xr:uid="{00000000-0005-0000-0000-0000242E0000}"/>
    <cellStyle name="Normal 6 7 3 2" xfId="2386" xr:uid="{00000000-0005-0000-0000-0000252E0000}"/>
    <cellStyle name="Normal 6 7 3 2 2" xfId="6246" xr:uid="{00000000-0005-0000-0000-0000262E0000}"/>
    <cellStyle name="Normal 6 7 3 2 3" xfId="11198" xr:uid="{00000000-0005-0000-0000-0000272E0000}"/>
    <cellStyle name="Normal 6 7 3 3" xfId="3614" xr:uid="{00000000-0005-0000-0000-0000282E0000}"/>
    <cellStyle name="Normal 6 7 3 3 2" xfId="7470" xr:uid="{00000000-0005-0000-0000-0000292E0000}"/>
    <cellStyle name="Normal 6 7 3 3 3" xfId="9956" xr:uid="{00000000-0005-0000-0000-00002A2E0000}"/>
    <cellStyle name="Normal 6 7 3 4" xfId="5022" xr:uid="{00000000-0005-0000-0000-00002B2E0000}"/>
    <cellStyle name="Normal 6 7 3 5" xfId="8714" xr:uid="{00000000-0005-0000-0000-00002C2E0000}"/>
    <cellStyle name="Normal 6 7 4" xfId="1774" xr:uid="{00000000-0005-0000-0000-00002D2E0000}"/>
    <cellStyle name="Normal 6 7 4 2" xfId="5634" xr:uid="{00000000-0005-0000-0000-00002E2E0000}"/>
    <cellStyle name="Normal 6 7 4 3" xfId="10568" xr:uid="{00000000-0005-0000-0000-00002F2E0000}"/>
    <cellStyle name="Normal 6 7 5" xfId="3001" xr:uid="{00000000-0005-0000-0000-0000302E0000}"/>
    <cellStyle name="Normal 6 7 5 2" xfId="6858" xr:uid="{00000000-0005-0000-0000-0000312E0000}"/>
    <cellStyle name="Normal 6 7 5 3" xfId="12044" xr:uid="{00000000-0005-0000-0000-0000322E0000}"/>
    <cellStyle name="Normal 6 7 6" xfId="4410" xr:uid="{00000000-0005-0000-0000-0000332E0000}"/>
    <cellStyle name="Normal 6 7 6 2" xfId="9326" xr:uid="{00000000-0005-0000-0000-0000342E0000}"/>
    <cellStyle name="Normal 6 7 7" xfId="8083" xr:uid="{00000000-0005-0000-0000-0000352E0000}"/>
    <cellStyle name="Normal 6 8" xfId="775" xr:uid="{00000000-0005-0000-0000-0000362E0000}"/>
    <cellStyle name="Normal 6 8 2" xfId="1430" xr:uid="{00000000-0005-0000-0000-0000372E0000}"/>
    <cellStyle name="Normal 6 8 2 2" xfId="2656" xr:uid="{00000000-0005-0000-0000-0000382E0000}"/>
    <cellStyle name="Normal 6 8 2 2 2" xfId="6516" xr:uid="{00000000-0005-0000-0000-0000392E0000}"/>
    <cellStyle name="Normal 6 8 2 2 3" xfId="11468" xr:uid="{00000000-0005-0000-0000-00003A2E0000}"/>
    <cellStyle name="Normal 6 8 2 3" xfId="3884" xr:uid="{00000000-0005-0000-0000-00003B2E0000}"/>
    <cellStyle name="Normal 6 8 2 3 2" xfId="7740" xr:uid="{00000000-0005-0000-0000-00003C2E0000}"/>
    <cellStyle name="Normal 6 8 2 3 3" xfId="10226" xr:uid="{00000000-0005-0000-0000-00003D2E0000}"/>
    <cellStyle name="Normal 6 8 2 4" xfId="5292" xr:uid="{00000000-0005-0000-0000-00003E2E0000}"/>
    <cellStyle name="Normal 6 8 2 5" xfId="8984" xr:uid="{00000000-0005-0000-0000-00003F2E0000}"/>
    <cellStyle name="Normal 6 8 3" xfId="2044" xr:uid="{00000000-0005-0000-0000-0000402E0000}"/>
    <cellStyle name="Normal 6 8 3 2" xfId="5904" xr:uid="{00000000-0005-0000-0000-0000412E0000}"/>
    <cellStyle name="Normal 6 8 3 3" xfId="10838" xr:uid="{00000000-0005-0000-0000-0000422E0000}"/>
    <cellStyle name="Normal 6 8 4" xfId="3272" xr:uid="{00000000-0005-0000-0000-0000432E0000}"/>
    <cellStyle name="Normal 6 8 4 2" xfId="7128" xr:uid="{00000000-0005-0000-0000-0000442E0000}"/>
    <cellStyle name="Normal 6 8 4 3" xfId="9596" xr:uid="{00000000-0005-0000-0000-0000452E0000}"/>
    <cellStyle name="Normal 6 8 5" xfId="4680" xr:uid="{00000000-0005-0000-0000-0000462E0000}"/>
    <cellStyle name="Normal 6 8 6" xfId="8353" xr:uid="{00000000-0005-0000-0000-0000472E0000}"/>
    <cellStyle name="Normal 6 9" xfId="1124" xr:uid="{00000000-0005-0000-0000-0000482E0000}"/>
    <cellStyle name="Normal 6 9 2" xfId="2350" xr:uid="{00000000-0005-0000-0000-0000492E0000}"/>
    <cellStyle name="Normal 6 9 2 2" xfId="6210" xr:uid="{00000000-0005-0000-0000-00004A2E0000}"/>
    <cellStyle name="Normal 6 9 2 3" xfId="11162" xr:uid="{00000000-0005-0000-0000-00004B2E0000}"/>
    <cellStyle name="Normal 6 9 3" xfId="3578" xr:uid="{00000000-0005-0000-0000-00004C2E0000}"/>
    <cellStyle name="Normal 6 9 3 2" xfId="7434" xr:uid="{00000000-0005-0000-0000-00004D2E0000}"/>
    <cellStyle name="Normal 6 9 3 3" xfId="9920" xr:uid="{00000000-0005-0000-0000-00004E2E0000}"/>
    <cellStyle name="Normal 6 9 4" xfId="4986" xr:uid="{00000000-0005-0000-0000-00004F2E0000}"/>
    <cellStyle name="Normal 6 9 5" xfId="8678" xr:uid="{00000000-0005-0000-0000-0000502E0000}"/>
    <cellStyle name="Normal 60" xfId="297" xr:uid="{00000000-0005-0000-0000-0000512E0000}"/>
    <cellStyle name="Normal 60 2" xfId="4304" xr:uid="{00000000-0005-0000-0000-0000522E0000}"/>
    <cellStyle name="Normal 61" xfId="298" xr:uid="{00000000-0005-0000-0000-0000532E0000}"/>
    <cellStyle name="Normal 61 2" xfId="4305" xr:uid="{00000000-0005-0000-0000-0000542E0000}"/>
    <cellStyle name="Normal 62" xfId="299" xr:uid="{00000000-0005-0000-0000-0000552E0000}"/>
    <cellStyle name="Normal 62 2" xfId="4306" xr:uid="{00000000-0005-0000-0000-0000562E0000}"/>
    <cellStyle name="Normal 63" xfId="300" xr:uid="{00000000-0005-0000-0000-0000572E0000}"/>
    <cellStyle name="Normal 63 2" xfId="4307" xr:uid="{00000000-0005-0000-0000-0000582E0000}"/>
    <cellStyle name="Normal 64" xfId="301" xr:uid="{00000000-0005-0000-0000-0000592E0000}"/>
    <cellStyle name="Normal 64 2" xfId="4308" xr:uid="{00000000-0005-0000-0000-00005A2E0000}"/>
    <cellStyle name="Normal 65" xfId="302" xr:uid="{00000000-0005-0000-0000-00005B2E0000}"/>
    <cellStyle name="Normal 65 2" xfId="4309" xr:uid="{00000000-0005-0000-0000-00005C2E0000}"/>
    <cellStyle name="Normal 66" xfId="1736" xr:uid="{00000000-0005-0000-0000-00005D2E0000}"/>
    <cellStyle name="Normal 67" xfId="2962" xr:uid="{00000000-0005-0000-0000-00005E2E0000}"/>
    <cellStyle name="Normal 68" xfId="2964" xr:uid="{00000000-0005-0000-0000-00005F2E0000}"/>
    <cellStyle name="Normal 69" xfId="2963" xr:uid="{00000000-0005-0000-0000-0000602E0000}"/>
    <cellStyle name="Normal 7" xfId="303" xr:uid="{00000000-0005-0000-0000-0000612E0000}"/>
    <cellStyle name="Normal 7 2" xfId="304" xr:uid="{00000000-0005-0000-0000-0000622E0000}"/>
    <cellStyle name="Normal 7 2 2" xfId="305" xr:uid="{00000000-0005-0000-0000-0000632E0000}"/>
    <cellStyle name="Normal 7 2 2 2" xfId="306" xr:uid="{00000000-0005-0000-0000-0000642E0000}"/>
    <cellStyle name="Normal 7 2 2 3" xfId="4312" xr:uid="{00000000-0005-0000-0000-0000652E0000}"/>
    <cellStyle name="Normal 7 2 3" xfId="307" xr:uid="{00000000-0005-0000-0000-0000662E0000}"/>
    <cellStyle name="Normal 7 2 4" xfId="866" xr:uid="{00000000-0005-0000-0000-0000672E0000}"/>
    <cellStyle name="Normal 7 2 5" xfId="4311" xr:uid="{00000000-0005-0000-0000-0000682E0000}"/>
    <cellStyle name="Normal 7 3" xfId="308" xr:uid="{00000000-0005-0000-0000-0000692E0000}"/>
    <cellStyle name="Normal 7 4" xfId="309" xr:uid="{00000000-0005-0000-0000-00006A2E0000}"/>
    <cellStyle name="Normal 7 5" xfId="516" xr:uid="{00000000-0005-0000-0000-00006B2E0000}"/>
    <cellStyle name="Normal 7 6" xfId="4310" xr:uid="{00000000-0005-0000-0000-00006C2E0000}"/>
    <cellStyle name="Normal 70" xfId="4190" xr:uid="{00000000-0005-0000-0000-00006D2E0000}"/>
    <cellStyle name="Normal 71" xfId="8046" xr:uid="{00000000-0005-0000-0000-00006E2E0000}"/>
    <cellStyle name="Normal 72" xfId="8659" xr:uid="{00000000-0005-0000-0000-00006F2E0000}"/>
    <cellStyle name="Normal 75" xfId="310" xr:uid="{00000000-0005-0000-0000-0000702E0000}"/>
    <cellStyle name="Normal 8" xfId="311" xr:uid="{00000000-0005-0000-0000-0000712E0000}"/>
    <cellStyle name="Normal 8 2" xfId="312" xr:uid="{00000000-0005-0000-0000-0000722E0000}"/>
    <cellStyle name="Normal 8 2 2" xfId="313" xr:uid="{00000000-0005-0000-0000-0000732E0000}"/>
    <cellStyle name="Normal 8 2 3" xfId="314" xr:uid="{00000000-0005-0000-0000-0000742E0000}"/>
    <cellStyle name="Normal 8 2 4" xfId="941" xr:uid="{00000000-0005-0000-0000-0000752E0000}"/>
    <cellStyle name="Normal 8 2 5" xfId="4314" xr:uid="{00000000-0005-0000-0000-0000762E0000}"/>
    <cellStyle name="Normal 8 3" xfId="315" xr:uid="{00000000-0005-0000-0000-0000772E0000}"/>
    <cellStyle name="Normal 8 4" xfId="316" xr:uid="{00000000-0005-0000-0000-0000782E0000}"/>
    <cellStyle name="Normal 8 5" xfId="591" xr:uid="{00000000-0005-0000-0000-0000792E0000}"/>
    <cellStyle name="Normal 8 6" xfId="4313" xr:uid="{00000000-0005-0000-0000-00007A2E0000}"/>
    <cellStyle name="Normal 9" xfId="317" xr:uid="{00000000-0005-0000-0000-00007B2E0000}"/>
    <cellStyle name="Normal 9 2" xfId="318" xr:uid="{00000000-0005-0000-0000-00007C2E0000}"/>
    <cellStyle name="Normal 9 2 2" xfId="1122" xr:uid="{00000000-0005-0000-0000-00007D2E0000}"/>
    <cellStyle name="Normal 9 3" xfId="319" xr:uid="{00000000-0005-0000-0000-00007E2E0000}"/>
    <cellStyle name="Normal 9 4" xfId="320" xr:uid="{00000000-0005-0000-0000-00007F2E0000}"/>
    <cellStyle name="Normal 9 5" xfId="420" xr:uid="{00000000-0005-0000-0000-0000802E0000}"/>
    <cellStyle name="Normal_A-BP0018 Blueprint Configuration Worksheet New Zealand v11.0" xfId="321" xr:uid="{00000000-0005-0000-0000-0000812E0000}"/>
    <cellStyle name="Normal_August 05 Overview" xfId="322" xr:uid="{00000000-0005-0000-0000-0000822E0000}"/>
    <cellStyle name="Normal_Term-Empl-IT0-IT1-IT2" xfId="323" xr:uid="{00000000-0005-0000-0000-0000832E0000}"/>
    <cellStyle name="Normal_Term-Empl-IT0-IT1-IT2 2" xfId="324" xr:uid="{00000000-0005-0000-0000-0000842E0000}"/>
    <cellStyle name="Normal_UAT Test Scenarios Apr05-Mar06 - Intel_v2" xfId="325" xr:uid="{00000000-0005-0000-0000-0000852E0000}"/>
    <cellStyle name="Normal_UAT Test Scenarios Apr05-Mar06 - Intel_v2 2" xfId="1737" xr:uid="{00000000-0005-0000-0000-0000862E0000}"/>
    <cellStyle name="Normal_UAT Test Scenarios Apr05-Mar06 - Intel_v2 2 2" xfId="3271" xr:uid="{00000000-0005-0000-0000-0000872E0000}"/>
    <cellStyle name="Note 2" xfId="326" xr:uid="{00000000-0005-0000-0000-0000882E0000}"/>
    <cellStyle name="N塅䕃⹌塅E_Payroll Nov 09 final25th" xfId="327" xr:uid="{00000000-0005-0000-0000-0000892E0000}"/>
    <cellStyle name="Output 2" xfId="328" xr:uid="{00000000-0005-0000-0000-00008A2E0000}"/>
    <cellStyle name="Output 2 2" xfId="4315" xr:uid="{00000000-0005-0000-0000-00008B2E0000}"/>
    <cellStyle name="Percent" xfId="12062" builtinId="5"/>
    <cellStyle name="Percent 2" xfId="329" xr:uid="{00000000-0005-0000-0000-00008D2E0000}"/>
    <cellStyle name="Percent 2 2" xfId="330" xr:uid="{00000000-0005-0000-0000-00008E2E0000}"/>
    <cellStyle name="Percent 2 2 2" xfId="331" xr:uid="{00000000-0005-0000-0000-00008F2E0000}"/>
    <cellStyle name="Percent 2 2 2 2" xfId="4317" xr:uid="{00000000-0005-0000-0000-0000902E0000}"/>
    <cellStyle name="Percent 2 2 3" xfId="332" xr:uid="{00000000-0005-0000-0000-0000912E0000}"/>
    <cellStyle name="Percent 2 2 4" xfId="4316" xr:uid="{00000000-0005-0000-0000-0000922E0000}"/>
    <cellStyle name="Percent 2 3" xfId="333" xr:uid="{00000000-0005-0000-0000-0000932E0000}"/>
    <cellStyle name="PSChar" xfId="334" xr:uid="{00000000-0005-0000-0000-0000942E0000}"/>
    <cellStyle name="PSDate" xfId="335" xr:uid="{00000000-0005-0000-0000-0000952E0000}"/>
    <cellStyle name="PSHeading" xfId="336" xr:uid="{00000000-0005-0000-0000-0000962E0000}"/>
    <cellStyle name="PSSpacer" xfId="337" xr:uid="{00000000-0005-0000-0000-0000972E0000}"/>
    <cellStyle name="Standaard 2" xfId="338" xr:uid="{00000000-0005-0000-0000-0000982E0000}"/>
    <cellStyle name="Standaard 2 10" xfId="339" xr:uid="{00000000-0005-0000-0000-0000992E0000}"/>
    <cellStyle name="Standaard 2 10 2" xfId="4319" xr:uid="{00000000-0005-0000-0000-00009A2E0000}"/>
    <cellStyle name="Standaard 2 11" xfId="340" xr:uid="{00000000-0005-0000-0000-00009B2E0000}"/>
    <cellStyle name="Standaard 2 11 2" xfId="4320" xr:uid="{00000000-0005-0000-0000-00009C2E0000}"/>
    <cellStyle name="Standaard 2 12" xfId="341" xr:uid="{00000000-0005-0000-0000-00009D2E0000}"/>
    <cellStyle name="Standaard 2 12 2" xfId="4321" xr:uid="{00000000-0005-0000-0000-00009E2E0000}"/>
    <cellStyle name="Standaard 2 13" xfId="342" xr:uid="{00000000-0005-0000-0000-00009F2E0000}"/>
    <cellStyle name="Standaard 2 13 2" xfId="4322" xr:uid="{00000000-0005-0000-0000-0000A02E0000}"/>
    <cellStyle name="Standaard 2 14" xfId="343" xr:uid="{00000000-0005-0000-0000-0000A12E0000}"/>
    <cellStyle name="Standaard 2 14 2" xfId="4323" xr:uid="{00000000-0005-0000-0000-0000A22E0000}"/>
    <cellStyle name="Standaard 2 15" xfId="344" xr:uid="{00000000-0005-0000-0000-0000A32E0000}"/>
    <cellStyle name="Standaard 2 15 2" xfId="4324" xr:uid="{00000000-0005-0000-0000-0000A42E0000}"/>
    <cellStyle name="Standaard 2 16" xfId="345" xr:uid="{00000000-0005-0000-0000-0000A52E0000}"/>
    <cellStyle name="Standaard 2 16 2" xfId="4325" xr:uid="{00000000-0005-0000-0000-0000A62E0000}"/>
    <cellStyle name="Standaard 2 17" xfId="346" xr:uid="{00000000-0005-0000-0000-0000A72E0000}"/>
    <cellStyle name="Standaard 2 17 2" xfId="4326" xr:uid="{00000000-0005-0000-0000-0000A82E0000}"/>
    <cellStyle name="Standaard 2 18" xfId="347" xr:uid="{00000000-0005-0000-0000-0000A92E0000}"/>
    <cellStyle name="Standaard 2 18 2" xfId="4327" xr:uid="{00000000-0005-0000-0000-0000AA2E0000}"/>
    <cellStyle name="Standaard 2 19" xfId="348" xr:uid="{00000000-0005-0000-0000-0000AB2E0000}"/>
    <cellStyle name="Standaard 2 19 2" xfId="4328" xr:uid="{00000000-0005-0000-0000-0000AC2E0000}"/>
    <cellStyle name="Standaard 2 2" xfId="349" xr:uid="{00000000-0005-0000-0000-0000AD2E0000}"/>
    <cellStyle name="Standaard 2 2 2" xfId="4329" xr:uid="{00000000-0005-0000-0000-0000AE2E0000}"/>
    <cellStyle name="Standaard 2 20" xfId="350" xr:uid="{00000000-0005-0000-0000-0000AF2E0000}"/>
    <cellStyle name="Standaard 2 20 2" xfId="4330" xr:uid="{00000000-0005-0000-0000-0000B02E0000}"/>
    <cellStyle name="Standaard 2 21" xfId="351" xr:uid="{00000000-0005-0000-0000-0000B12E0000}"/>
    <cellStyle name="Standaard 2 21 2" xfId="4331" xr:uid="{00000000-0005-0000-0000-0000B22E0000}"/>
    <cellStyle name="Standaard 2 22" xfId="352" xr:uid="{00000000-0005-0000-0000-0000B32E0000}"/>
    <cellStyle name="Standaard 2 22 2" xfId="4332" xr:uid="{00000000-0005-0000-0000-0000B42E0000}"/>
    <cellStyle name="Standaard 2 23" xfId="353" xr:uid="{00000000-0005-0000-0000-0000B52E0000}"/>
    <cellStyle name="Standaard 2 23 2" xfId="4333" xr:uid="{00000000-0005-0000-0000-0000B62E0000}"/>
    <cellStyle name="Standaard 2 24" xfId="354" xr:uid="{00000000-0005-0000-0000-0000B72E0000}"/>
    <cellStyle name="Standaard 2 24 2" xfId="4334" xr:uid="{00000000-0005-0000-0000-0000B82E0000}"/>
    <cellStyle name="Standaard 2 25" xfId="355" xr:uid="{00000000-0005-0000-0000-0000B92E0000}"/>
    <cellStyle name="Standaard 2 25 2" xfId="4335" xr:uid="{00000000-0005-0000-0000-0000BA2E0000}"/>
    <cellStyle name="Standaard 2 26" xfId="356" xr:uid="{00000000-0005-0000-0000-0000BB2E0000}"/>
    <cellStyle name="Standaard 2 26 2" xfId="4336" xr:uid="{00000000-0005-0000-0000-0000BC2E0000}"/>
    <cellStyle name="Standaard 2 27" xfId="357" xr:uid="{00000000-0005-0000-0000-0000BD2E0000}"/>
    <cellStyle name="Standaard 2 27 2" xfId="4337" xr:uid="{00000000-0005-0000-0000-0000BE2E0000}"/>
    <cellStyle name="Standaard 2 28" xfId="358" xr:uid="{00000000-0005-0000-0000-0000BF2E0000}"/>
    <cellStyle name="Standaard 2 28 2" xfId="4338" xr:uid="{00000000-0005-0000-0000-0000C02E0000}"/>
    <cellStyle name="Standaard 2 29" xfId="359" xr:uid="{00000000-0005-0000-0000-0000C12E0000}"/>
    <cellStyle name="Standaard 2 29 2" xfId="4339" xr:uid="{00000000-0005-0000-0000-0000C22E0000}"/>
    <cellStyle name="Standaard 2 3" xfId="360" xr:uid="{00000000-0005-0000-0000-0000C32E0000}"/>
    <cellStyle name="Standaard 2 3 2" xfId="4340" xr:uid="{00000000-0005-0000-0000-0000C42E0000}"/>
    <cellStyle name="Standaard 2 30" xfId="361" xr:uid="{00000000-0005-0000-0000-0000C52E0000}"/>
    <cellStyle name="Standaard 2 30 2" xfId="4341" xr:uid="{00000000-0005-0000-0000-0000C62E0000}"/>
    <cellStyle name="Standaard 2 31" xfId="362" xr:uid="{00000000-0005-0000-0000-0000C72E0000}"/>
    <cellStyle name="Standaard 2 31 2" xfId="4342" xr:uid="{00000000-0005-0000-0000-0000C82E0000}"/>
    <cellStyle name="Standaard 2 32" xfId="363" xr:uid="{00000000-0005-0000-0000-0000C92E0000}"/>
    <cellStyle name="Standaard 2 32 2" xfId="4343" xr:uid="{00000000-0005-0000-0000-0000CA2E0000}"/>
    <cellStyle name="Standaard 2 33" xfId="364" xr:uid="{00000000-0005-0000-0000-0000CB2E0000}"/>
    <cellStyle name="Standaard 2 33 2" xfId="4344" xr:uid="{00000000-0005-0000-0000-0000CC2E0000}"/>
    <cellStyle name="Standaard 2 34" xfId="365" xr:uid="{00000000-0005-0000-0000-0000CD2E0000}"/>
    <cellStyle name="Standaard 2 34 2" xfId="4345" xr:uid="{00000000-0005-0000-0000-0000CE2E0000}"/>
    <cellStyle name="Standaard 2 35" xfId="366" xr:uid="{00000000-0005-0000-0000-0000CF2E0000}"/>
    <cellStyle name="Standaard 2 35 2" xfId="4346" xr:uid="{00000000-0005-0000-0000-0000D02E0000}"/>
    <cellStyle name="Standaard 2 36" xfId="367" xr:uid="{00000000-0005-0000-0000-0000D12E0000}"/>
    <cellStyle name="Standaard 2 36 2" xfId="4347" xr:uid="{00000000-0005-0000-0000-0000D22E0000}"/>
    <cellStyle name="Standaard 2 37" xfId="368" xr:uid="{00000000-0005-0000-0000-0000D32E0000}"/>
    <cellStyle name="Standaard 2 37 2" xfId="4348" xr:uid="{00000000-0005-0000-0000-0000D42E0000}"/>
    <cellStyle name="Standaard 2 38" xfId="369" xr:uid="{00000000-0005-0000-0000-0000D52E0000}"/>
    <cellStyle name="Standaard 2 38 2" xfId="4349" xr:uid="{00000000-0005-0000-0000-0000D62E0000}"/>
    <cellStyle name="Standaard 2 39" xfId="370" xr:uid="{00000000-0005-0000-0000-0000D72E0000}"/>
    <cellStyle name="Standaard 2 39 2" xfId="4350" xr:uid="{00000000-0005-0000-0000-0000D82E0000}"/>
    <cellStyle name="Standaard 2 4" xfId="371" xr:uid="{00000000-0005-0000-0000-0000D92E0000}"/>
    <cellStyle name="Standaard 2 4 2" xfId="4351" xr:uid="{00000000-0005-0000-0000-0000DA2E0000}"/>
    <cellStyle name="Standaard 2 40" xfId="372" xr:uid="{00000000-0005-0000-0000-0000DB2E0000}"/>
    <cellStyle name="Standaard 2 40 2" xfId="4352" xr:uid="{00000000-0005-0000-0000-0000DC2E0000}"/>
    <cellStyle name="Standaard 2 41" xfId="373" xr:uid="{00000000-0005-0000-0000-0000DD2E0000}"/>
    <cellStyle name="Standaard 2 41 2" xfId="4353" xr:uid="{00000000-0005-0000-0000-0000DE2E0000}"/>
    <cellStyle name="Standaard 2 42" xfId="374" xr:uid="{00000000-0005-0000-0000-0000DF2E0000}"/>
    <cellStyle name="Standaard 2 42 2" xfId="4354" xr:uid="{00000000-0005-0000-0000-0000E02E0000}"/>
    <cellStyle name="Standaard 2 43" xfId="375" xr:uid="{00000000-0005-0000-0000-0000E12E0000}"/>
    <cellStyle name="Standaard 2 43 2" xfId="4355" xr:uid="{00000000-0005-0000-0000-0000E22E0000}"/>
    <cellStyle name="Standaard 2 44" xfId="376" xr:uid="{00000000-0005-0000-0000-0000E32E0000}"/>
    <cellStyle name="Standaard 2 44 2" xfId="4356" xr:uid="{00000000-0005-0000-0000-0000E42E0000}"/>
    <cellStyle name="Standaard 2 45" xfId="377" xr:uid="{00000000-0005-0000-0000-0000E52E0000}"/>
    <cellStyle name="Standaard 2 45 2" xfId="4357" xr:uid="{00000000-0005-0000-0000-0000E62E0000}"/>
    <cellStyle name="Standaard 2 46" xfId="378" xr:uid="{00000000-0005-0000-0000-0000E72E0000}"/>
    <cellStyle name="Standaard 2 46 2" xfId="4358" xr:uid="{00000000-0005-0000-0000-0000E82E0000}"/>
    <cellStyle name="Standaard 2 47" xfId="379" xr:uid="{00000000-0005-0000-0000-0000E92E0000}"/>
    <cellStyle name="Standaard 2 47 2" xfId="4359" xr:uid="{00000000-0005-0000-0000-0000EA2E0000}"/>
    <cellStyle name="Standaard 2 48" xfId="380" xr:uid="{00000000-0005-0000-0000-0000EB2E0000}"/>
    <cellStyle name="Standaard 2 48 2" xfId="4360" xr:uid="{00000000-0005-0000-0000-0000EC2E0000}"/>
    <cellStyle name="Standaard 2 49" xfId="381" xr:uid="{00000000-0005-0000-0000-0000ED2E0000}"/>
    <cellStyle name="Standaard 2 49 2" xfId="4361" xr:uid="{00000000-0005-0000-0000-0000EE2E0000}"/>
    <cellStyle name="Standaard 2 5" xfId="382" xr:uid="{00000000-0005-0000-0000-0000EF2E0000}"/>
    <cellStyle name="Standaard 2 5 2" xfId="4362" xr:uid="{00000000-0005-0000-0000-0000F02E0000}"/>
    <cellStyle name="Standaard 2 50" xfId="383" xr:uid="{00000000-0005-0000-0000-0000F12E0000}"/>
    <cellStyle name="Standaard 2 50 2" xfId="4363" xr:uid="{00000000-0005-0000-0000-0000F22E0000}"/>
    <cellStyle name="Standaard 2 51" xfId="384" xr:uid="{00000000-0005-0000-0000-0000F32E0000}"/>
    <cellStyle name="Standaard 2 51 2" xfId="4364" xr:uid="{00000000-0005-0000-0000-0000F42E0000}"/>
    <cellStyle name="Standaard 2 52" xfId="385" xr:uid="{00000000-0005-0000-0000-0000F52E0000}"/>
    <cellStyle name="Standaard 2 52 2" xfId="4365" xr:uid="{00000000-0005-0000-0000-0000F62E0000}"/>
    <cellStyle name="Standaard 2 53" xfId="386" xr:uid="{00000000-0005-0000-0000-0000F72E0000}"/>
    <cellStyle name="Standaard 2 53 2" xfId="4366" xr:uid="{00000000-0005-0000-0000-0000F82E0000}"/>
    <cellStyle name="Standaard 2 54" xfId="4318" xr:uid="{00000000-0005-0000-0000-0000F92E0000}"/>
    <cellStyle name="Standaard 2 6" xfId="387" xr:uid="{00000000-0005-0000-0000-0000FA2E0000}"/>
    <cellStyle name="Standaard 2 6 2" xfId="4367" xr:uid="{00000000-0005-0000-0000-0000FB2E0000}"/>
    <cellStyle name="Standaard 2 7" xfId="388" xr:uid="{00000000-0005-0000-0000-0000FC2E0000}"/>
    <cellStyle name="Standaard 2 7 2" xfId="4368" xr:uid="{00000000-0005-0000-0000-0000FD2E0000}"/>
    <cellStyle name="Standaard 2 8" xfId="389" xr:uid="{00000000-0005-0000-0000-0000FE2E0000}"/>
    <cellStyle name="Standaard 2 8 2" xfId="4369" xr:uid="{00000000-0005-0000-0000-0000FF2E0000}"/>
    <cellStyle name="Standaard 2 9" xfId="390" xr:uid="{00000000-0005-0000-0000-0000002F0000}"/>
    <cellStyle name="Standaard 2 9 2" xfId="4370" xr:uid="{00000000-0005-0000-0000-0000012F0000}"/>
    <cellStyle name="Standaard 2_Generic MCS (BGD) Aug 2010" xfId="391" xr:uid="{00000000-0005-0000-0000-0000022F0000}"/>
    <cellStyle name="Standard_ADZ Manu" xfId="392" xr:uid="{00000000-0005-0000-0000-0000032F0000}"/>
    <cellStyle name="Style 1" xfId="393" xr:uid="{00000000-0005-0000-0000-0000042F0000}"/>
    <cellStyle name="Style 1 2" xfId="394" xr:uid="{00000000-0005-0000-0000-0000052F0000}"/>
    <cellStyle name="Thanh" xfId="395" xr:uid="{00000000-0005-0000-0000-0000062F0000}"/>
    <cellStyle name="Title 2" xfId="396" xr:uid="{00000000-0005-0000-0000-0000072F0000}"/>
    <cellStyle name="Total 2" xfId="397" xr:uid="{00000000-0005-0000-0000-0000082F0000}"/>
    <cellStyle name="Total 2 2" xfId="4371" xr:uid="{00000000-0005-0000-0000-0000092F0000}"/>
    <cellStyle name="Warning Text 2" xfId="398" xr:uid="{00000000-0005-0000-0000-00000A2F0000}"/>
    <cellStyle name="標準_労働条件e" xfId="415" xr:uid="{00000000-0005-0000-0000-00000B2F0000}"/>
    <cellStyle name="常规_Book1" xfId="414" xr:uid="{00000000-0005-0000-0000-00000C2F0000}"/>
    <cellStyle name="貨幣 [0]_Book1" xfId="416" xr:uid="{00000000-0005-0000-0000-00000D2F0000}"/>
    <cellStyle name="貨幣_Book1" xfId="417" xr:uid="{00000000-0005-0000-0000-00000E2F0000}"/>
    <cellStyle name="똿뗦먛귟 [0.00]_PRODUCT DETAIL Q1" xfId="399" xr:uid="{00000000-0005-0000-0000-00000F2F0000}"/>
    <cellStyle name="똿뗦먛귟_PRODUCT DETAIL Q1" xfId="400" xr:uid="{00000000-0005-0000-0000-0000102F0000}"/>
    <cellStyle name="千分位[0]_Book1" xfId="412" xr:uid="{00000000-0005-0000-0000-0000112F0000}"/>
    <cellStyle name="千分位_Book1" xfId="413" xr:uid="{00000000-0005-0000-0000-0000122F0000}"/>
    <cellStyle name="一般_Book1" xfId="411" xr:uid="{00000000-0005-0000-0000-0000132F0000}"/>
    <cellStyle name="믅됞 [0.00]_PRODUCT DETAIL Q1" xfId="401" xr:uid="{00000000-0005-0000-0000-0000142F0000}"/>
    <cellStyle name="믅됞_PRODUCT DETAIL Q1" xfId="402" xr:uid="{00000000-0005-0000-0000-0000152F0000}"/>
    <cellStyle name="백분율_95" xfId="403" xr:uid="{00000000-0005-0000-0000-0000162F0000}"/>
    <cellStyle name="뷭?_BOOKSHIP" xfId="404" xr:uid="{00000000-0005-0000-0000-0000172F0000}"/>
    <cellStyle name="콤마 [0]_1202" xfId="405" xr:uid="{00000000-0005-0000-0000-0000182F0000}"/>
    <cellStyle name="콤마_1202" xfId="406" xr:uid="{00000000-0005-0000-0000-0000192F0000}"/>
    <cellStyle name="통화 [0]_1202" xfId="407" xr:uid="{00000000-0005-0000-0000-00001A2F0000}"/>
    <cellStyle name="통화_1202" xfId="408" xr:uid="{00000000-0005-0000-0000-00001B2F0000}"/>
    <cellStyle name="표준 2" xfId="409" xr:uid="{00000000-0005-0000-0000-00001C2F0000}"/>
    <cellStyle name="표준 2 2" xfId="4372" xr:uid="{00000000-0005-0000-0000-00001D2F0000}"/>
    <cellStyle name="표준_(정보부문)월별인원계획" xfId="410" xr:uid="{00000000-0005-0000-0000-00001E2F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30"/>
      <c:rotY val="0"/>
      <c:rAngAx val="0"/>
    </c:view3D>
    <c:floor>
      <c:thickness val="0"/>
    </c:floor>
    <c:sideWall>
      <c:thickness val="0"/>
    </c:sideWall>
    <c:backWall>
      <c:thickness val="0"/>
    </c:backWall>
    <c:plotArea>
      <c:layout/>
      <c:pie3DChart>
        <c:varyColors val="1"/>
        <c:ser>
          <c:idx val="0"/>
          <c:order val="0"/>
          <c:cat>
            <c:strRef>
              <c:f>Summary!$A$9:$A$12</c:f>
              <c:strCache>
                <c:ptCount val="4"/>
                <c:pt idx="0">
                  <c:v>Scenarios part of Master Data</c:v>
                </c:pt>
                <c:pt idx="1">
                  <c:v>Scenarios part of Transactional Data</c:v>
                </c:pt>
                <c:pt idx="2">
                  <c:v>Scenarios ER Information/Accruals</c:v>
                </c:pt>
                <c:pt idx="3">
                  <c:v>Scenarios Stat/YearEnd Reporting</c:v>
                </c:pt>
              </c:strCache>
            </c:strRef>
          </c:cat>
          <c:val>
            <c:numRef>
              <c:f>Summary!$B$9:$B$12</c:f>
              <c:numCache>
                <c:formatCode>General</c:formatCode>
                <c:ptCount val="4"/>
                <c:pt idx="0">
                  <c:v>22</c:v>
                </c:pt>
                <c:pt idx="1">
                  <c:v>38</c:v>
                </c:pt>
                <c:pt idx="2">
                  <c:v>1</c:v>
                </c:pt>
                <c:pt idx="3">
                  <c:v>3</c:v>
                </c:pt>
              </c:numCache>
            </c:numRef>
          </c:val>
          <c:extLst>
            <c:ext xmlns:c16="http://schemas.microsoft.com/office/drawing/2014/chart" uri="{C3380CC4-5D6E-409C-BE32-E72D297353CC}">
              <c16:uniqueId val="{00000000-2F23-4AAC-B389-878DC1CA8117}"/>
            </c:ext>
          </c:extLst>
        </c:ser>
        <c:dLbls>
          <c:showLegendKey val="0"/>
          <c:showVal val="0"/>
          <c:showCatName val="0"/>
          <c:showSerName val="0"/>
          <c:showPercent val="0"/>
          <c:showBubbleSize val="0"/>
          <c:showLeaderLines val="1"/>
        </c:dLbls>
      </c:pie3DChart>
    </c:plotArea>
    <c:legend>
      <c:legendPos val="r"/>
      <c:overlay val="0"/>
    </c:legend>
    <c:plotVisOnly val="1"/>
    <c:dispBlanksAs val="gap"/>
    <c:showDLblsOverMax val="0"/>
  </c:chart>
  <c:spPr>
    <a:solidFill>
      <a:schemeClr val="lt1"/>
    </a:solidFill>
    <a:ln w="25400" cap="flat" cmpd="sng" algn="ctr">
      <a:solidFill>
        <a:schemeClr val="accent5"/>
      </a:solidFill>
      <a:prstDash val="solid"/>
    </a:ln>
    <a:effectLst/>
  </c:spPr>
  <c:txPr>
    <a:bodyPr/>
    <a:lstStyle/>
    <a:p>
      <a:pPr>
        <a:defRPr>
          <a:solidFill>
            <a:schemeClr val="dk1"/>
          </a:solidFill>
          <a:latin typeface="+mn-lt"/>
          <a:ea typeface="+mn-ea"/>
          <a:cs typeface="+mn-cs"/>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30"/>
      <c:rotY val="0"/>
      <c:rAngAx val="0"/>
    </c:view3D>
    <c:floor>
      <c:thickness val="0"/>
    </c:floor>
    <c:sideWall>
      <c:thickness val="0"/>
    </c:sideWall>
    <c:backWall>
      <c:thickness val="0"/>
    </c:backWall>
    <c:plotArea>
      <c:layout/>
      <c:pie3DChart>
        <c:varyColors val="1"/>
        <c:ser>
          <c:idx val="0"/>
          <c:order val="0"/>
          <c:cat>
            <c:strRef>
              <c:f>Summary!$D$36:$H$36</c:f>
              <c:strCache>
                <c:ptCount val="5"/>
                <c:pt idx="0">
                  <c:v>Config </c:v>
                </c:pt>
                <c:pt idx="1">
                  <c:v>Clarification</c:v>
                </c:pt>
                <c:pt idx="2">
                  <c:v>New Request CR</c:v>
                </c:pt>
                <c:pt idx="3">
                  <c:v>Master Data</c:v>
                </c:pt>
                <c:pt idx="4">
                  <c:v>Other</c:v>
                </c:pt>
              </c:strCache>
            </c:strRef>
          </c:cat>
          <c:val>
            <c:numRef>
              <c:f>Summary!$D$37:$H$37</c:f>
              <c:numCache>
                <c:formatCode>General</c:formatCode>
                <c:ptCount val="5"/>
                <c:pt idx="0">
                  <c:v>7</c:v>
                </c:pt>
                <c:pt idx="1">
                  <c:v>0</c:v>
                </c:pt>
                <c:pt idx="2">
                  <c:v>1</c:v>
                </c:pt>
                <c:pt idx="3">
                  <c:v>0</c:v>
                </c:pt>
                <c:pt idx="4">
                  <c:v>0</c:v>
                </c:pt>
              </c:numCache>
            </c:numRef>
          </c:val>
          <c:extLst>
            <c:ext xmlns:c16="http://schemas.microsoft.com/office/drawing/2014/chart" uri="{C3380CC4-5D6E-409C-BE32-E72D297353CC}">
              <c16:uniqueId val="{00000000-D557-4148-89C2-6324B691E8DA}"/>
            </c:ext>
          </c:extLst>
        </c:ser>
        <c:dLbls>
          <c:showLegendKey val="0"/>
          <c:showVal val="0"/>
          <c:showCatName val="0"/>
          <c:showSerName val="0"/>
          <c:showPercent val="0"/>
          <c:showBubbleSize val="0"/>
          <c:showLeaderLines val="1"/>
        </c:dLbls>
      </c:pie3DChart>
    </c:plotArea>
    <c:legend>
      <c:legendPos val="r"/>
      <c:overlay val="0"/>
    </c:legend>
    <c:plotVisOnly val="1"/>
    <c:dispBlanksAs val="gap"/>
    <c:showDLblsOverMax val="0"/>
  </c:chart>
  <c:spPr>
    <a:solidFill>
      <a:schemeClr val="lt1"/>
    </a:solidFill>
    <a:ln w="25400" cap="flat" cmpd="sng" algn="ctr">
      <a:solidFill>
        <a:schemeClr val="accent5"/>
      </a:solidFill>
      <a:prstDash val="solid"/>
    </a:ln>
    <a:effectLst/>
  </c:spPr>
  <c:txPr>
    <a:bodyPr/>
    <a:lstStyle/>
    <a:p>
      <a:pPr>
        <a:defRPr>
          <a:solidFill>
            <a:schemeClr val="dk1"/>
          </a:solidFill>
          <a:latin typeface="+mn-lt"/>
          <a:ea typeface="+mn-ea"/>
          <a:cs typeface="+mn-cs"/>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30"/>
      <c:rotY val="0"/>
      <c:rAngAx val="0"/>
    </c:view3D>
    <c:floor>
      <c:thickness val="0"/>
    </c:floor>
    <c:sideWall>
      <c:thickness val="0"/>
    </c:sideWall>
    <c:backWall>
      <c:thickness val="0"/>
    </c:backWall>
    <c:plotArea>
      <c:layout/>
      <c:pie3DChart>
        <c:varyColors val="1"/>
        <c:ser>
          <c:idx val="0"/>
          <c:order val="0"/>
          <c:cat>
            <c:strRef>
              <c:f>Summary!$I$36:$J$36</c:f>
              <c:strCache>
                <c:ptCount val="2"/>
                <c:pt idx="0">
                  <c:v>Open </c:v>
                </c:pt>
                <c:pt idx="1">
                  <c:v>Closed</c:v>
                </c:pt>
              </c:strCache>
            </c:strRef>
          </c:cat>
          <c:val>
            <c:numRef>
              <c:f>Summary!$I$37:$J$37</c:f>
              <c:numCache>
                <c:formatCode>General</c:formatCode>
                <c:ptCount val="2"/>
                <c:pt idx="0">
                  <c:v>1</c:v>
                </c:pt>
                <c:pt idx="1">
                  <c:v>7</c:v>
                </c:pt>
              </c:numCache>
            </c:numRef>
          </c:val>
          <c:extLst>
            <c:ext xmlns:c16="http://schemas.microsoft.com/office/drawing/2014/chart" uri="{C3380CC4-5D6E-409C-BE32-E72D297353CC}">
              <c16:uniqueId val="{00000000-244D-488A-AE30-CE85FD945825}"/>
            </c:ext>
          </c:extLst>
        </c:ser>
        <c:dLbls>
          <c:showLegendKey val="0"/>
          <c:showVal val="0"/>
          <c:showCatName val="0"/>
          <c:showSerName val="0"/>
          <c:showPercent val="0"/>
          <c:showBubbleSize val="0"/>
          <c:showLeaderLines val="1"/>
        </c:dLbls>
      </c:pie3DChart>
    </c:plotArea>
    <c:legend>
      <c:legendPos val="r"/>
      <c:overlay val="0"/>
    </c:legend>
    <c:plotVisOnly val="1"/>
    <c:dispBlanksAs val="gap"/>
    <c:showDLblsOverMax val="0"/>
  </c:chart>
  <c:spPr>
    <a:solidFill>
      <a:schemeClr val="lt1"/>
    </a:solidFill>
    <a:ln w="25400" cap="flat" cmpd="sng" algn="ctr">
      <a:solidFill>
        <a:schemeClr val="accent5"/>
      </a:solidFill>
      <a:prstDash val="solid"/>
    </a:ln>
    <a:effectLst/>
  </c:spPr>
  <c:txPr>
    <a:bodyPr/>
    <a:lstStyle/>
    <a:p>
      <a:pPr>
        <a:defRPr>
          <a:solidFill>
            <a:schemeClr val="dk1"/>
          </a:solidFill>
          <a:latin typeface="+mn-lt"/>
          <a:ea typeface="+mn-ea"/>
          <a:cs typeface="+mn-cs"/>
        </a:defRPr>
      </a:pPr>
      <a:endParaRPr lang="zh-CN"/>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2.jpeg"/><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xdr:col>
      <xdr:colOff>4410710</xdr:colOff>
      <xdr:row>0</xdr:row>
      <xdr:rowOff>828040</xdr:rowOff>
    </xdr:to>
    <xdr:pic>
      <xdr:nvPicPr>
        <xdr:cNvPr id="3" name="Picture 2">
          <a:extLst>
            <a:ext uri="{FF2B5EF4-FFF2-40B4-BE49-F238E27FC236}">
              <a16:creationId xmlns:a16="http://schemas.microsoft.com/office/drawing/2014/main" id="{00000000-0008-0000-0000-000003000000}"/>
            </a:ext>
          </a:extLst>
        </xdr:cNvPr>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800"/>
        <a:stretch/>
      </xdr:blipFill>
      <xdr:spPr>
        <a:xfrm>
          <a:off x="0" y="0"/>
          <a:ext cx="7475855" cy="828040"/>
        </a:xfrm>
        <a:prstGeom prst="rect">
          <a:avLst/>
        </a:prstGeom>
        <a:noFill/>
        <a:ln>
          <a:noFill/>
        </a:ln>
      </xdr:spPr>
    </xdr:pic>
    <xdr:clientData/>
  </xdr:twoCellAnchor>
</xdr:wsDr>
</file>

<file path=xl/drawings/drawing10.xml><?xml version="1.0" encoding="utf-8"?>
<xdr:wsDr xmlns:xdr="http://schemas.openxmlformats.org/drawingml/2006/spreadsheetDrawing" xmlns:a="http://schemas.openxmlformats.org/drawingml/2006/main">
  <xdr:twoCellAnchor editAs="absolute">
    <xdr:from>
      <xdr:col>18</xdr:col>
      <xdr:colOff>278130</xdr:colOff>
      <xdr:row>0</xdr:row>
      <xdr:rowOff>0</xdr:rowOff>
    </xdr:from>
    <xdr:to>
      <xdr:col>20</xdr:col>
      <xdr:colOff>191929</xdr:colOff>
      <xdr:row>2</xdr:row>
      <xdr:rowOff>352425</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969490" y="0"/>
          <a:ext cx="1392079" cy="77152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absolute">
    <xdr:from>
      <xdr:col>17</xdr:col>
      <xdr:colOff>621030</xdr:colOff>
      <xdr:row>0</xdr:row>
      <xdr:rowOff>0</xdr:rowOff>
    </xdr:from>
    <xdr:to>
      <xdr:col>19</xdr:col>
      <xdr:colOff>397669</xdr:colOff>
      <xdr:row>2</xdr:row>
      <xdr:rowOff>352425</xdr:rowOff>
    </xdr:to>
    <xdr:pic>
      <xdr:nvPicPr>
        <xdr:cNvPr id="2" name="Pictur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969490" y="0"/>
          <a:ext cx="1392079" cy="77152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absolute">
    <xdr:from>
      <xdr:col>17</xdr:col>
      <xdr:colOff>689610</xdr:colOff>
      <xdr:row>0</xdr:row>
      <xdr:rowOff>0</xdr:rowOff>
    </xdr:from>
    <xdr:to>
      <xdr:col>19</xdr:col>
      <xdr:colOff>466249</xdr:colOff>
      <xdr:row>2</xdr:row>
      <xdr:rowOff>352425</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969490" y="0"/>
          <a:ext cx="1392079" cy="771525"/>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absolute">
    <xdr:from>
      <xdr:col>17</xdr:col>
      <xdr:colOff>689610</xdr:colOff>
      <xdr:row>0</xdr:row>
      <xdr:rowOff>0</xdr:rowOff>
    </xdr:from>
    <xdr:to>
      <xdr:col>19</xdr:col>
      <xdr:colOff>466249</xdr:colOff>
      <xdr:row>2</xdr:row>
      <xdr:rowOff>352425</xdr:rowOff>
    </xdr:to>
    <xdr:pic>
      <xdr:nvPicPr>
        <xdr:cNvPr id="2" name="Picture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969490" y="0"/>
          <a:ext cx="1392079" cy="771525"/>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absolute">
    <xdr:from>
      <xdr:col>21</xdr:col>
      <xdr:colOff>34290</xdr:colOff>
      <xdr:row>0</xdr:row>
      <xdr:rowOff>7620</xdr:rowOff>
    </xdr:from>
    <xdr:to>
      <xdr:col>23</xdr:col>
      <xdr:colOff>146209</xdr:colOff>
      <xdr:row>2</xdr:row>
      <xdr:rowOff>360045</xdr:rowOff>
    </xdr:to>
    <xdr:pic>
      <xdr:nvPicPr>
        <xdr:cNvPr id="2" name="Picture 1">
          <a:extLst>
            <a:ext uri="{FF2B5EF4-FFF2-40B4-BE49-F238E27FC236}">
              <a16:creationId xmlns:a16="http://schemas.microsoft.com/office/drawing/2014/main" id="{00000000-0008-0000-0E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407890" y="7620"/>
          <a:ext cx="1392079" cy="771525"/>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absolute">
    <xdr:from>
      <xdr:col>19</xdr:col>
      <xdr:colOff>476250</xdr:colOff>
      <xdr:row>0</xdr:row>
      <xdr:rowOff>38100</xdr:rowOff>
    </xdr:from>
    <xdr:to>
      <xdr:col>21</xdr:col>
      <xdr:colOff>390049</xdr:colOff>
      <xdr:row>3</xdr:row>
      <xdr:rowOff>9525</xdr:rowOff>
    </xdr:to>
    <xdr:pic>
      <xdr:nvPicPr>
        <xdr:cNvPr id="2" name="Picture 1">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371570" y="38100"/>
          <a:ext cx="1392079" cy="771525"/>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absolute">
    <xdr:from>
      <xdr:col>17</xdr:col>
      <xdr:colOff>689610</xdr:colOff>
      <xdr:row>0</xdr:row>
      <xdr:rowOff>0</xdr:rowOff>
    </xdr:from>
    <xdr:to>
      <xdr:col>19</xdr:col>
      <xdr:colOff>466249</xdr:colOff>
      <xdr:row>2</xdr:row>
      <xdr:rowOff>352425</xdr:rowOff>
    </xdr:to>
    <xdr:pic>
      <xdr:nvPicPr>
        <xdr:cNvPr id="2" name="Picture 1">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969490" y="0"/>
          <a:ext cx="1392079" cy="771525"/>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absolute">
    <xdr:from>
      <xdr:col>17</xdr:col>
      <xdr:colOff>689610</xdr:colOff>
      <xdr:row>0</xdr:row>
      <xdr:rowOff>0</xdr:rowOff>
    </xdr:from>
    <xdr:to>
      <xdr:col>19</xdr:col>
      <xdr:colOff>466249</xdr:colOff>
      <xdr:row>2</xdr:row>
      <xdr:rowOff>352425</xdr:rowOff>
    </xdr:to>
    <xdr:pic>
      <xdr:nvPicPr>
        <xdr:cNvPr id="2" name="Picture 1">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969490" y="0"/>
          <a:ext cx="1392079" cy="771525"/>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absolute">
    <xdr:from>
      <xdr:col>17</xdr:col>
      <xdr:colOff>689610</xdr:colOff>
      <xdr:row>0</xdr:row>
      <xdr:rowOff>0</xdr:rowOff>
    </xdr:from>
    <xdr:to>
      <xdr:col>19</xdr:col>
      <xdr:colOff>466249</xdr:colOff>
      <xdr:row>2</xdr:row>
      <xdr:rowOff>352425</xdr:rowOff>
    </xdr:to>
    <xdr:pic>
      <xdr:nvPicPr>
        <xdr:cNvPr id="2" name="Picture 1">
          <a:extLst>
            <a:ext uri="{FF2B5EF4-FFF2-40B4-BE49-F238E27FC236}">
              <a16:creationId xmlns:a16="http://schemas.microsoft.com/office/drawing/2014/main" id="{00000000-0008-0000-1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969490" y="0"/>
          <a:ext cx="1392079" cy="771525"/>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absolute">
    <xdr:from>
      <xdr:col>17</xdr:col>
      <xdr:colOff>689610</xdr:colOff>
      <xdr:row>0</xdr:row>
      <xdr:rowOff>0</xdr:rowOff>
    </xdr:from>
    <xdr:to>
      <xdr:col>19</xdr:col>
      <xdr:colOff>466249</xdr:colOff>
      <xdr:row>2</xdr:row>
      <xdr:rowOff>352425</xdr:rowOff>
    </xdr:to>
    <xdr:pic>
      <xdr:nvPicPr>
        <xdr:cNvPr id="2" name="Picture 1">
          <a:extLst>
            <a:ext uri="{FF2B5EF4-FFF2-40B4-BE49-F238E27FC236}">
              <a16:creationId xmlns:a16="http://schemas.microsoft.com/office/drawing/2014/main" id="{00000000-0008-0000-1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969490" y="0"/>
          <a:ext cx="1392079" cy="7715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12</xdr:col>
      <xdr:colOff>960120</xdr:colOff>
      <xdr:row>0</xdr:row>
      <xdr:rowOff>0</xdr:rowOff>
    </xdr:from>
    <xdr:to>
      <xdr:col>14</xdr:col>
      <xdr:colOff>268129</xdr:colOff>
      <xdr:row>3</xdr:row>
      <xdr:rowOff>0</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115800" y="0"/>
          <a:ext cx="1350169" cy="771525"/>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absolute">
    <xdr:from>
      <xdr:col>17</xdr:col>
      <xdr:colOff>552450</xdr:colOff>
      <xdr:row>0</xdr:row>
      <xdr:rowOff>0</xdr:rowOff>
    </xdr:from>
    <xdr:to>
      <xdr:col>19</xdr:col>
      <xdr:colOff>565309</xdr:colOff>
      <xdr:row>2</xdr:row>
      <xdr:rowOff>352425</xdr:rowOff>
    </xdr:to>
    <xdr:pic>
      <xdr:nvPicPr>
        <xdr:cNvPr id="2" name="Picture 1">
          <a:extLst>
            <a:ext uri="{FF2B5EF4-FFF2-40B4-BE49-F238E27FC236}">
              <a16:creationId xmlns:a16="http://schemas.microsoft.com/office/drawing/2014/main" id="{00000000-0008-0000-1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969490" y="0"/>
          <a:ext cx="1392079" cy="771525"/>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absolute">
    <xdr:from>
      <xdr:col>17</xdr:col>
      <xdr:colOff>552450</xdr:colOff>
      <xdr:row>0</xdr:row>
      <xdr:rowOff>0</xdr:rowOff>
    </xdr:from>
    <xdr:to>
      <xdr:col>20</xdr:col>
      <xdr:colOff>24289</xdr:colOff>
      <xdr:row>2</xdr:row>
      <xdr:rowOff>352425</xdr:rowOff>
    </xdr:to>
    <xdr:pic>
      <xdr:nvPicPr>
        <xdr:cNvPr id="2" name="Picture 1">
          <a:extLst>
            <a:ext uri="{FF2B5EF4-FFF2-40B4-BE49-F238E27FC236}">
              <a16:creationId xmlns:a16="http://schemas.microsoft.com/office/drawing/2014/main" id="{00000000-0008-0000-1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969490" y="0"/>
          <a:ext cx="1392079" cy="771525"/>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absolute">
    <xdr:from>
      <xdr:col>17</xdr:col>
      <xdr:colOff>689610</xdr:colOff>
      <xdr:row>0</xdr:row>
      <xdr:rowOff>0</xdr:rowOff>
    </xdr:from>
    <xdr:to>
      <xdr:col>19</xdr:col>
      <xdr:colOff>466249</xdr:colOff>
      <xdr:row>2</xdr:row>
      <xdr:rowOff>352425</xdr:rowOff>
    </xdr:to>
    <xdr:pic>
      <xdr:nvPicPr>
        <xdr:cNvPr id="2" name="Picture 1">
          <a:extLst>
            <a:ext uri="{FF2B5EF4-FFF2-40B4-BE49-F238E27FC236}">
              <a16:creationId xmlns:a16="http://schemas.microsoft.com/office/drawing/2014/main" id="{006D973B-35EE-41F7-80BA-64080ED5467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969490" y="0"/>
          <a:ext cx="1392079" cy="771525"/>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5</xdr:col>
      <xdr:colOff>3465830</xdr:colOff>
      <xdr:row>0</xdr:row>
      <xdr:rowOff>828040</xdr:rowOff>
    </xdr:to>
    <xdr:pic>
      <xdr:nvPicPr>
        <xdr:cNvPr id="2" name="Picture 1">
          <a:extLst>
            <a:ext uri="{FF2B5EF4-FFF2-40B4-BE49-F238E27FC236}">
              <a16:creationId xmlns:a16="http://schemas.microsoft.com/office/drawing/2014/main" id="{00000000-0008-0000-1700-000002000000}"/>
            </a:ext>
          </a:extLst>
        </xdr:cNvPr>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800"/>
        <a:stretch/>
      </xdr:blipFill>
      <xdr:spPr>
        <a:xfrm>
          <a:off x="0" y="0"/>
          <a:ext cx="3656330" cy="16129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9</xdr:col>
      <xdr:colOff>1440180</xdr:colOff>
      <xdr:row>0</xdr:row>
      <xdr:rowOff>0</xdr:rowOff>
    </xdr:from>
    <xdr:to>
      <xdr:col>9</xdr:col>
      <xdr:colOff>2790349</xdr:colOff>
      <xdr:row>3</xdr:row>
      <xdr:rowOff>0</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125325" y="0"/>
          <a:ext cx="1350169" cy="7715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absolute">
    <xdr:from>
      <xdr:col>12</xdr:col>
      <xdr:colOff>104775</xdr:colOff>
      <xdr:row>0</xdr:row>
      <xdr:rowOff>0</xdr:rowOff>
    </xdr:from>
    <xdr:to>
      <xdr:col>14</xdr:col>
      <xdr:colOff>235744</xdr:colOff>
      <xdr:row>3</xdr:row>
      <xdr:rowOff>0</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687425" y="0"/>
          <a:ext cx="1350169" cy="7715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absolute">
    <xdr:from>
      <xdr:col>4</xdr:col>
      <xdr:colOff>0</xdr:colOff>
      <xdr:row>0</xdr:row>
      <xdr:rowOff>0</xdr:rowOff>
    </xdr:from>
    <xdr:to>
      <xdr:col>6</xdr:col>
      <xdr:colOff>130969</xdr:colOff>
      <xdr:row>3</xdr:row>
      <xdr:rowOff>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39150" y="0"/>
          <a:ext cx="1350169" cy="7715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absolute">
    <xdr:from>
      <xdr:col>7</xdr:col>
      <xdr:colOff>312420</xdr:colOff>
      <xdr:row>0</xdr:row>
      <xdr:rowOff>0</xdr:rowOff>
    </xdr:from>
    <xdr:to>
      <xdr:col>9</xdr:col>
      <xdr:colOff>443389</xdr:colOff>
      <xdr:row>3</xdr:row>
      <xdr:rowOff>0</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05900" y="0"/>
          <a:ext cx="1350169" cy="77152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absolute">
    <xdr:from>
      <xdr:col>14</xdr:col>
      <xdr:colOff>66675</xdr:colOff>
      <xdr:row>0</xdr:row>
      <xdr:rowOff>0</xdr:rowOff>
    </xdr:from>
    <xdr:to>
      <xdr:col>16</xdr:col>
      <xdr:colOff>197644</xdr:colOff>
      <xdr:row>3</xdr:row>
      <xdr:rowOff>219075</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258675" y="0"/>
          <a:ext cx="1350169" cy="771525"/>
        </a:xfrm>
        <a:prstGeom prst="rect">
          <a:avLst/>
        </a:prstGeom>
      </xdr:spPr>
    </xdr:pic>
    <xdr:clientData/>
  </xdr:twoCellAnchor>
  <xdr:twoCellAnchor>
    <xdr:from>
      <xdr:col>0</xdr:col>
      <xdr:colOff>0</xdr:colOff>
      <xdr:row>13</xdr:row>
      <xdr:rowOff>14287</xdr:rowOff>
    </xdr:from>
    <xdr:to>
      <xdr:col>4</xdr:col>
      <xdr:colOff>474000</xdr:colOff>
      <xdr:row>27</xdr:row>
      <xdr:rowOff>123337</xdr:rowOff>
    </xdr:to>
    <xdr:graphicFrame macro="">
      <xdr:nvGraphicFramePr>
        <xdr:cNvPr id="3" name="Chart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361950</xdr:colOff>
      <xdr:row>35</xdr:row>
      <xdr:rowOff>42862</xdr:rowOff>
    </xdr:from>
    <xdr:to>
      <xdr:col>16</xdr:col>
      <xdr:colOff>312075</xdr:colOff>
      <xdr:row>49</xdr:row>
      <xdr:rowOff>151912</xdr:rowOff>
    </xdr:to>
    <xdr:graphicFrame macro="">
      <xdr:nvGraphicFramePr>
        <xdr:cNvPr id="4" name="Chart 3">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371475</xdr:colOff>
      <xdr:row>50</xdr:row>
      <xdr:rowOff>119062</xdr:rowOff>
    </xdr:from>
    <xdr:to>
      <xdr:col>16</xdr:col>
      <xdr:colOff>321600</xdr:colOff>
      <xdr:row>65</xdr:row>
      <xdr:rowOff>66187</xdr:rowOff>
    </xdr:to>
    <xdr:graphicFrame macro="">
      <xdr:nvGraphicFramePr>
        <xdr:cNvPr id="5" name="Chart 4">
          <a:extLst>
            <a:ext uri="{FF2B5EF4-FFF2-40B4-BE49-F238E27FC236}">
              <a16:creationId xmlns:a16="http://schemas.microsoft.com/office/drawing/2014/main" id="{00000000-0008-0000-07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absolute">
    <xdr:from>
      <xdr:col>12</xdr:col>
      <xdr:colOff>529590</xdr:colOff>
      <xdr:row>0</xdr:row>
      <xdr:rowOff>0</xdr:rowOff>
    </xdr:from>
    <xdr:to>
      <xdr:col>14</xdr:col>
      <xdr:colOff>431959</xdr:colOff>
      <xdr:row>2</xdr:row>
      <xdr:rowOff>352425</xdr:rowOff>
    </xdr:to>
    <xdr:pic>
      <xdr:nvPicPr>
        <xdr:cNvPr id="3" name="Picture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448800" y="0"/>
          <a:ext cx="1350169" cy="77152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absolute">
    <xdr:from>
      <xdr:col>18</xdr:col>
      <xdr:colOff>285750</xdr:colOff>
      <xdr:row>0</xdr:row>
      <xdr:rowOff>0</xdr:rowOff>
    </xdr:from>
    <xdr:to>
      <xdr:col>20</xdr:col>
      <xdr:colOff>199549</xdr:colOff>
      <xdr:row>2</xdr:row>
      <xdr:rowOff>352425</xdr:rowOff>
    </xdr:to>
    <xdr:pic>
      <xdr:nvPicPr>
        <xdr:cNvPr id="3" name="Picture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744700" y="0"/>
          <a:ext cx="1350169" cy="7715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Xia, Summer (ESI)" id="{14358B88-B96C-488C-ADA1-C945AEC9CA97}" userId="S::sxia@apac.adp.com::653573fc-1f3b-4f43-8623-bc9e55f8a9c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8.bin"/><Relationship Id="rId4" Type="http://schemas.openxmlformats.org/officeDocument/2006/relationships/comments" Target="../comments7.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9.bin"/><Relationship Id="rId4" Type="http://schemas.openxmlformats.org/officeDocument/2006/relationships/comments" Target="../comments8.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2.xml"/><Relationship Id="rId1" Type="http://schemas.openxmlformats.org/officeDocument/2006/relationships/printerSettings" Target="../printerSettings/printerSettings10.bin"/><Relationship Id="rId4" Type="http://schemas.openxmlformats.org/officeDocument/2006/relationships/comments" Target="../comments9.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3.xml"/><Relationship Id="rId1" Type="http://schemas.openxmlformats.org/officeDocument/2006/relationships/printerSettings" Target="../printerSettings/printerSettings11.bin"/><Relationship Id="rId4" Type="http://schemas.openxmlformats.org/officeDocument/2006/relationships/comments" Target="../comments10.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4.xml"/><Relationship Id="rId1" Type="http://schemas.openxmlformats.org/officeDocument/2006/relationships/printerSettings" Target="../printerSettings/printerSettings12.bin"/><Relationship Id="rId4" Type="http://schemas.openxmlformats.org/officeDocument/2006/relationships/comments" Target="../comments11.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5.xml"/><Relationship Id="rId1" Type="http://schemas.openxmlformats.org/officeDocument/2006/relationships/printerSettings" Target="../printerSettings/printerSettings13.bin"/><Relationship Id="rId4" Type="http://schemas.openxmlformats.org/officeDocument/2006/relationships/comments" Target="../comments12.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6.xml"/><Relationship Id="rId1" Type="http://schemas.openxmlformats.org/officeDocument/2006/relationships/printerSettings" Target="../printerSettings/printerSettings14.bin"/><Relationship Id="rId4" Type="http://schemas.openxmlformats.org/officeDocument/2006/relationships/comments" Target="../comments13.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7.xml"/><Relationship Id="rId1" Type="http://schemas.openxmlformats.org/officeDocument/2006/relationships/printerSettings" Target="../printerSettings/printerSettings15.bin"/><Relationship Id="rId4" Type="http://schemas.openxmlformats.org/officeDocument/2006/relationships/comments" Target="../comments14.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18.xml"/><Relationship Id="rId1" Type="http://schemas.openxmlformats.org/officeDocument/2006/relationships/printerSettings" Target="../printerSettings/printerSettings16.bin"/><Relationship Id="rId4" Type="http://schemas.openxmlformats.org/officeDocument/2006/relationships/comments" Target="../comments15.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drawing" Target="../drawings/drawing19.xml"/><Relationship Id="rId1" Type="http://schemas.openxmlformats.org/officeDocument/2006/relationships/printerSettings" Target="../printerSettings/printerSettings17.bin"/><Relationship Id="rId4" Type="http://schemas.openxmlformats.org/officeDocument/2006/relationships/comments" Target="../comments16.xml"/></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drawing" Target="../drawings/drawing20.xml"/><Relationship Id="rId1" Type="http://schemas.openxmlformats.org/officeDocument/2006/relationships/printerSettings" Target="../printerSettings/printerSettings18.bin"/><Relationship Id="rId4" Type="http://schemas.openxmlformats.org/officeDocument/2006/relationships/comments" Target="../comments17.xml"/></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drawing" Target="../drawings/drawing21.xml"/><Relationship Id="rId1" Type="http://schemas.openxmlformats.org/officeDocument/2006/relationships/printerSettings" Target="../printerSettings/printerSettings19.bin"/><Relationship Id="rId4" Type="http://schemas.openxmlformats.org/officeDocument/2006/relationships/comments" Target="../comments18.xml"/></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19.vml"/><Relationship Id="rId2" Type="http://schemas.openxmlformats.org/officeDocument/2006/relationships/drawing" Target="../drawings/drawing22.xml"/><Relationship Id="rId1" Type="http://schemas.openxmlformats.org/officeDocument/2006/relationships/printerSettings" Target="../printerSettings/printerSettings20.bin"/><Relationship Id="rId4" Type="http://schemas.openxmlformats.org/officeDocument/2006/relationships/comments" Target="../comments19.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2"/>
  <sheetViews>
    <sheetView topLeftCell="A33" workbookViewId="0">
      <selection activeCell="C43" sqref="C43"/>
    </sheetView>
  </sheetViews>
  <sheetFormatPr defaultColWidth="9.109375" defaultRowHeight="13.8"/>
  <cols>
    <col min="1" max="1" width="21.44140625" style="672" customWidth="1"/>
    <col min="2" max="2" width="25.33203125" style="459" customWidth="1"/>
    <col min="3" max="3" width="93" style="5" bestFit="1" customWidth="1"/>
    <col min="4" max="4" width="37.6640625" style="5" customWidth="1"/>
    <col min="5" max="5" width="10.109375" style="5" customWidth="1"/>
    <col min="6" max="6" width="13.33203125" style="5" customWidth="1"/>
    <col min="7" max="16384" width="9.109375" style="5"/>
  </cols>
  <sheetData>
    <row r="1" spans="1:6" ht="75" customHeight="1">
      <c r="C1" s="102"/>
      <c r="D1" s="102"/>
      <c r="E1" s="102"/>
      <c r="F1" s="102"/>
    </row>
    <row r="2" spans="1:6" ht="42.6">
      <c r="A2" s="673" t="s">
        <v>6</v>
      </c>
    </row>
    <row r="4" spans="1:6">
      <c r="A4" s="628" t="s">
        <v>115</v>
      </c>
      <c r="B4" s="676" t="s">
        <v>887</v>
      </c>
    </row>
    <row r="5" spans="1:6">
      <c r="A5" s="628" t="s">
        <v>116</v>
      </c>
      <c r="B5" s="629" t="s">
        <v>110</v>
      </c>
    </row>
    <row r="6" spans="1:6">
      <c r="A6" s="628" t="s">
        <v>117</v>
      </c>
      <c r="B6" s="676" t="s">
        <v>888</v>
      </c>
    </row>
    <row r="7" spans="1:6">
      <c r="A7" s="628" t="s">
        <v>64</v>
      </c>
      <c r="B7" s="676" t="s">
        <v>889</v>
      </c>
    </row>
    <row r="8" spans="1:6">
      <c r="A8" s="629"/>
      <c r="B8" s="629"/>
    </row>
    <row r="9" spans="1:6">
      <c r="A9" s="630" t="s">
        <v>118</v>
      </c>
      <c r="B9" s="677" t="s">
        <v>129</v>
      </c>
    </row>
    <row r="10" spans="1:6">
      <c r="A10" s="630" t="s">
        <v>94</v>
      </c>
      <c r="B10" s="678">
        <v>3.6</v>
      </c>
    </row>
    <row r="11" spans="1:6">
      <c r="A11" s="629"/>
      <c r="B11" s="629"/>
    </row>
    <row r="12" spans="1:6">
      <c r="A12" s="630" t="s">
        <v>98</v>
      </c>
      <c r="B12" s="629"/>
    </row>
    <row r="13" spans="1:6">
      <c r="A13" s="674" t="s">
        <v>94</v>
      </c>
      <c r="B13" s="675" t="s">
        <v>95</v>
      </c>
      <c r="C13" s="103" t="s">
        <v>96</v>
      </c>
    </row>
    <row r="14" spans="1:6">
      <c r="A14" s="672">
        <v>0.1</v>
      </c>
      <c r="B14" s="608">
        <v>43770</v>
      </c>
      <c r="C14" s="5" t="s">
        <v>99</v>
      </c>
    </row>
    <row r="15" spans="1:6" ht="138">
      <c r="A15" s="672">
        <v>0.2</v>
      </c>
      <c r="B15" s="608">
        <v>43805</v>
      </c>
      <c r="C15" s="602" t="s">
        <v>1143</v>
      </c>
    </row>
    <row r="16" spans="1:6" ht="96.6">
      <c r="A16" s="672">
        <v>0.3</v>
      </c>
      <c r="B16" s="608">
        <v>43810</v>
      </c>
      <c r="C16" s="602" t="s">
        <v>1179</v>
      </c>
    </row>
    <row r="17" spans="1:3">
      <c r="A17" s="672">
        <v>0.4</v>
      </c>
      <c r="B17" s="608">
        <v>43818</v>
      </c>
      <c r="C17" s="5" t="s">
        <v>1181</v>
      </c>
    </row>
    <row r="18" spans="1:3" ht="96.6">
      <c r="A18" s="672" t="s">
        <v>1183</v>
      </c>
      <c r="B18" s="608">
        <v>43875</v>
      </c>
      <c r="C18" s="602" t="s">
        <v>1185</v>
      </c>
    </row>
    <row r="19" spans="1:3" ht="124.2">
      <c r="A19" s="672">
        <v>1.1000000000000001</v>
      </c>
      <c r="B19" s="608">
        <v>43878</v>
      </c>
      <c r="C19" s="602" t="s">
        <v>1266</v>
      </c>
    </row>
    <row r="20" spans="1:3" ht="234.6">
      <c r="A20" s="672">
        <v>1.2</v>
      </c>
      <c r="B20" s="608">
        <v>43887</v>
      </c>
      <c r="C20" s="602" t="s">
        <v>1221</v>
      </c>
    </row>
    <row r="21" spans="1:3" ht="41.4">
      <c r="A21" s="672">
        <v>1.3</v>
      </c>
      <c r="B21" s="608">
        <v>43896</v>
      </c>
      <c r="C21" s="602" t="s">
        <v>1238</v>
      </c>
    </row>
    <row r="22" spans="1:3" ht="124.2">
      <c r="A22" s="672">
        <v>1.41</v>
      </c>
      <c r="B22" s="608">
        <v>43900</v>
      </c>
      <c r="C22" s="602" t="s">
        <v>1269</v>
      </c>
    </row>
    <row r="23" spans="1:3">
      <c r="A23" s="672" t="s">
        <v>1271</v>
      </c>
      <c r="B23" s="608">
        <v>43908</v>
      </c>
      <c r="C23" s="6" t="s">
        <v>1272</v>
      </c>
    </row>
    <row r="24" spans="1:3">
      <c r="A24" s="672" t="s">
        <v>1273</v>
      </c>
      <c r="B24" s="608">
        <v>43908</v>
      </c>
      <c r="C24" s="5" t="s">
        <v>1274</v>
      </c>
    </row>
    <row r="25" spans="1:3">
      <c r="A25" s="672" t="s">
        <v>1284</v>
      </c>
      <c r="B25" s="608">
        <v>43910</v>
      </c>
      <c r="C25" s="5" t="s">
        <v>1285</v>
      </c>
    </row>
    <row r="26" spans="1:3">
      <c r="A26" s="672" t="s">
        <v>1287</v>
      </c>
      <c r="B26" s="608">
        <v>43910</v>
      </c>
      <c r="C26" s="6" t="s">
        <v>1288</v>
      </c>
    </row>
    <row r="27" spans="1:3" ht="27.6">
      <c r="A27" s="672" t="s">
        <v>1289</v>
      </c>
      <c r="B27" s="608">
        <v>43913</v>
      </c>
      <c r="C27" s="602" t="s">
        <v>1290</v>
      </c>
    </row>
    <row r="28" spans="1:3" ht="27.6">
      <c r="A28" s="672" t="s">
        <v>1294</v>
      </c>
      <c r="B28" s="608">
        <v>43914</v>
      </c>
      <c r="C28" s="602" t="s">
        <v>1302</v>
      </c>
    </row>
    <row r="29" spans="1:3">
      <c r="A29" s="672" t="s">
        <v>1303</v>
      </c>
      <c r="B29" s="608">
        <v>43915</v>
      </c>
      <c r="C29" s="6" t="s">
        <v>1304</v>
      </c>
    </row>
    <row r="30" spans="1:3" ht="27.6">
      <c r="A30" s="672" t="s">
        <v>1308</v>
      </c>
      <c r="B30" s="608">
        <v>43916</v>
      </c>
      <c r="C30" s="602" t="s">
        <v>1324</v>
      </c>
    </row>
    <row r="31" spans="1:3">
      <c r="A31" s="672" t="s">
        <v>1335</v>
      </c>
      <c r="B31" s="608">
        <v>43917</v>
      </c>
      <c r="C31" s="5" t="s">
        <v>1336</v>
      </c>
    </row>
    <row r="32" spans="1:3">
      <c r="A32" s="672" t="s">
        <v>1347</v>
      </c>
      <c r="B32" s="608">
        <v>43910</v>
      </c>
      <c r="C32" s="6" t="s">
        <v>1348</v>
      </c>
    </row>
    <row r="33" spans="1:3" ht="27.6">
      <c r="A33" s="672" t="s">
        <v>1349</v>
      </c>
      <c r="B33" s="608">
        <v>43922</v>
      </c>
      <c r="C33" s="602" t="s">
        <v>1389</v>
      </c>
    </row>
    <row r="34" spans="1:3" ht="69">
      <c r="A34" s="672" t="s">
        <v>1392</v>
      </c>
      <c r="B34" s="459" t="s">
        <v>1393</v>
      </c>
      <c r="C34" s="602" t="s">
        <v>1394</v>
      </c>
    </row>
    <row r="35" spans="1:3">
      <c r="A35" s="672" t="s">
        <v>1396</v>
      </c>
      <c r="B35" s="608">
        <v>43924</v>
      </c>
      <c r="C35" s="6" t="s">
        <v>1403</v>
      </c>
    </row>
    <row r="36" spans="1:3">
      <c r="A36" s="672" t="s">
        <v>1397</v>
      </c>
      <c r="B36" s="608">
        <v>43928</v>
      </c>
      <c r="C36" s="5" t="s">
        <v>1404</v>
      </c>
    </row>
    <row r="37" spans="1:3">
      <c r="A37" s="672" t="s">
        <v>1406</v>
      </c>
      <c r="B37" s="608">
        <v>43929</v>
      </c>
      <c r="C37" s="6" t="s">
        <v>1407</v>
      </c>
    </row>
    <row r="38" spans="1:3" ht="27.6">
      <c r="A38" s="672" t="s">
        <v>1408</v>
      </c>
      <c r="B38" s="608">
        <v>43929</v>
      </c>
      <c r="C38" s="602" t="s">
        <v>1409</v>
      </c>
    </row>
    <row r="39" spans="1:3">
      <c r="A39" s="672" t="s">
        <v>1412</v>
      </c>
      <c r="B39" s="608">
        <v>43930</v>
      </c>
      <c r="C39" s="5" t="s">
        <v>1413</v>
      </c>
    </row>
    <row r="40" spans="1:3">
      <c r="A40" s="672" t="s">
        <v>1445</v>
      </c>
      <c r="B40" s="608">
        <v>43930</v>
      </c>
      <c r="C40" s="6" t="s">
        <v>1446</v>
      </c>
    </row>
    <row r="41" spans="1:3" ht="82.8">
      <c r="A41" s="672" t="s">
        <v>1447</v>
      </c>
      <c r="B41" s="608">
        <v>43936</v>
      </c>
      <c r="C41" s="602" t="s">
        <v>1450</v>
      </c>
    </row>
    <row r="42" spans="1:3" ht="96.6">
      <c r="A42" s="672" t="s">
        <v>1462</v>
      </c>
      <c r="C42" s="602" t="s">
        <v>1468</v>
      </c>
    </row>
  </sheetData>
  <phoneticPr fontId="11" type="noConversion"/>
  <pageMargins left="0.75" right="0.75" top="1" bottom="1" header="0.5" footer="0.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2"/>
  <dimension ref="A1:AC140"/>
  <sheetViews>
    <sheetView workbookViewId="0">
      <pane xSplit="1" ySplit="9" topLeftCell="B10" activePane="bottomRight" state="frozen"/>
      <selection pane="topRight" activeCell="B1" sqref="B1"/>
      <selection pane="bottomLeft" activeCell="A10" sqref="A10"/>
      <selection pane="bottomRight" activeCell="H69" sqref="H69"/>
    </sheetView>
  </sheetViews>
  <sheetFormatPr defaultRowHeight="13.8"/>
  <cols>
    <col min="1" max="1" width="31" style="5" bestFit="1" customWidth="1"/>
    <col min="2" max="5" width="10.77734375" style="5" customWidth="1"/>
    <col min="6" max="7" width="10.77734375" customWidth="1"/>
    <col min="8" max="8" width="10.6640625" customWidth="1"/>
    <col min="9" max="21" width="10.77734375" customWidth="1"/>
    <col min="22" max="26" width="9.33203125" style="5" customWidth="1"/>
    <col min="27" max="27" width="9.33203125" style="5" bestFit="1" customWidth="1"/>
    <col min="28" max="29" width="9.33203125" style="5" customWidth="1"/>
  </cols>
  <sheetData>
    <row r="1" spans="1:29" s="3" customFormat="1" ht="20.399999999999999">
      <c r="A1" s="104" t="s">
        <v>6</v>
      </c>
      <c r="B1" s="104"/>
      <c r="C1" s="104"/>
      <c r="D1" s="104"/>
      <c r="E1" s="104"/>
      <c r="F1" s="100"/>
      <c r="L1" s="8"/>
      <c r="X1" s="1"/>
      <c r="Y1" s="1"/>
      <c r="Z1" s="1"/>
      <c r="AA1" s="1"/>
      <c r="AB1" s="1"/>
      <c r="AC1" s="1"/>
    </row>
    <row r="2" spans="1:29" s="3" customFormat="1" ht="12.75" customHeight="1">
      <c r="B2" s="110"/>
      <c r="C2" s="110"/>
      <c r="D2" s="110"/>
      <c r="E2" s="109"/>
      <c r="V2" s="22"/>
      <c r="W2" s="22"/>
      <c r="X2" s="22"/>
      <c r="Y2" s="22"/>
      <c r="Z2" s="22"/>
      <c r="AA2" s="2"/>
      <c r="AC2" s="2"/>
    </row>
    <row r="3" spans="1:29" s="3" customFormat="1" ht="30">
      <c r="A3" s="106" t="s">
        <v>916</v>
      </c>
      <c r="B3" s="110"/>
      <c r="C3" s="110"/>
      <c r="D3" s="110"/>
      <c r="E3" s="106"/>
      <c r="V3" s="22"/>
      <c r="W3" s="22"/>
      <c r="X3" s="22"/>
      <c r="Y3" s="22"/>
      <c r="Z3" s="22"/>
      <c r="AA3" s="2"/>
      <c r="AC3" s="2"/>
    </row>
    <row r="4" spans="1:29" s="110" customFormat="1">
      <c r="A4" s="110" t="s">
        <v>1265</v>
      </c>
      <c r="B4" s="361">
        <v>23205</v>
      </c>
    </row>
    <row r="5" spans="1:29" s="110" customFormat="1">
      <c r="A5" s="110" t="s">
        <v>1268</v>
      </c>
      <c r="B5" s="361">
        <v>23500</v>
      </c>
    </row>
    <row r="6" spans="1:29" s="3" customFormat="1" ht="18" customHeight="1">
      <c r="A6" s="321">
        <v>43496</v>
      </c>
      <c r="B6" s="110"/>
      <c r="C6" s="110"/>
      <c r="D6" s="110"/>
      <c r="G6" s="748" t="s">
        <v>52</v>
      </c>
      <c r="H6" s="748"/>
      <c r="I6" s="748"/>
      <c r="J6" s="748"/>
      <c r="V6" s="22"/>
      <c r="W6" s="22"/>
      <c r="X6" s="747" t="s">
        <v>65</v>
      </c>
      <c r="Y6" s="747"/>
      <c r="Z6" s="747"/>
      <c r="AA6" s="747"/>
      <c r="AB6" s="2"/>
      <c r="AC6" s="2"/>
    </row>
    <row r="7" spans="1:29" s="4" customFormat="1" ht="27.6">
      <c r="A7" s="402"/>
      <c r="B7" s="317" t="s">
        <v>34</v>
      </c>
      <c r="C7" s="318" t="s">
        <v>35</v>
      </c>
      <c r="D7" s="318" t="s">
        <v>36</v>
      </c>
      <c r="E7" s="318" t="s">
        <v>37</v>
      </c>
      <c r="F7" s="318" t="s">
        <v>38</v>
      </c>
      <c r="G7" s="318" t="s">
        <v>39</v>
      </c>
      <c r="H7" s="318" t="s">
        <v>40</v>
      </c>
      <c r="I7" s="318" t="s">
        <v>41</v>
      </c>
      <c r="J7" s="418" t="s">
        <v>42</v>
      </c>
      <c r="K7" s="318" t="s">
        <v>43</v>
      </c>
      <c r="L7" s="318" t="s">
        <v>44</v>
      </c>
      <c r="M7" s="318" t="s">
        <v>45</v>
      </c>
      <c r="N7" s="318" t="s">
        <v>46</v>
      </c>
      <c r="O7" s="318" t="s">
        <v>47</v>
      </c>
      <c r="P7" s="758" t="s">
        <v>498</v>
      </c>
      <c r="Q7" s="343" t="s">
        <v>514</v>
      </c>
      <c r="R7" s="343" t="s">
        <v>515</v>
      </c>
      <c r="S7" s="343" t="s">
        <v>517</v>
      </c>
      <c r="T7" s="343" t="s">
        <v>519</v>
      </c>
      <c r="U7" s="343" t="s">
        <v>521</v>
      </c>
      <c r="V7" s="344"/>
      <c r="W7" s="345"/>
      <c r="X7" s="345"/>
      <c r="Y7" s="345"/>
      <c r="Z7" s="345"/>
      <c r="AA7" s="345"/>
      <c r="AB7" s="345"/>
      <c r="AC7" s="346"/>
    </row>
    <row r="8" spans="1:29" ht="15.6">
      <c r="A8" s="403"/>
      <c r="B8" s="111">
        <f>'New Hire'!C6</f>
        <v>91999901</v>
      </c>
      <c r="C8" s="333">
        <f>'New Hire'!D6</f>
        <v>91999902</v>
      </c>
      <c r="D8" s="333">
        <f>'New Hire'!E6</f>
        <v>91999903</v>
      </c>
      <c r="E8" s="333">
        <f>'New Hire'!F6</f>
        <v>91999904</v>
      </c>
      <c r="F8" s="333">
        <f>'New Hire'!G6</f>
        <v>91999905</v>
      </c>
      <c r="G8" s="333">
        <f>'New Hire'!H6</f>
        <v>91999906</v>
      </c>
      <c r="H8" s="333">
        <f>'New Hire'!I6</f>
        <v>91999907</v>
      </c>
      <c r="I8" s="333">
        <f>'New Hire'!J6</f>
        <v>91999908</v>
      </c>
      <c r="J8" s="419">
        <f>'New Hire'!K6</f>
        <v>91999909</v>
      </c>
      <c r="K8" s="333">
        <f>'New Hire'!L6</f>
        <v>91999910</v>
      </c>
      <c r="L8" s="333">
        <f>'New Hire'!M6</f>
        <v>91999911</v>
      </c>
      <c r="M8" s="333">
        <f>'New Hire'!N6</f>
        <v>91999912</v>
      </c>
      <c r="N8" s="333">
        <f>'New Hire'!O6</f>
        <v>91999913</v>
      </c>
      <c r="O8" s="333">
        <f>'New Hire'!P6</f>
        <v>91999914</v>
      </c>
      <c r="P8" s="759"/>
      <c r="Q8" s="343" t="s">
        <v>513</v>
      </c>
      <c r="R8" s="343" t="s">
        <v>516</v>
      </c>
      <c r="S8" s="343" t="s">
        <v>518</v>
      </c>
      <c r="T8" s="343" t="s">
        <v>520</v>
      </c>
      <c r="U8" s="343" t="s">
        <v>522</v>
      </c>
      <c r="V8" s="47"/>
      <c r="W8" s="48"/>
      <c r="X8" s="20"/>
      <c r="Y8" s="20"/>
      <c r="Z8" s="20"/>
      <c r="AA8" s="20"/>
      <c r="AB8" s="20"/>
      <c r="AC8" s="15"/>
    </row>
    <row r="9" spans="1:29" ht="12.75" customHeight="1">
      <c r="A9" s="404" t="s">
        <v>63</v>
      </c>
      <c r="B9" s="23"/>
      <c r="C9" s="19"/>
      <c r="D9" s="19"/>
      <c r="E9" s="20"/>
      <c r="F9" s="19"/>
      <c r="G9" s="19"/>
      <c r="H9" s="21"/>
      <c r="I9" s="19"/>
      <c r="J9" s="420"/>
      <c r="K9" s="20"/>
      <c r="L9" s="20"/>
      <c r="M9" s="20"/>
      <c r="N9" s="20"/>
      <c r="O9" s="20"/>
      <c r="P9" s="336"/>
      <c r="Q9" s="20"/>
      <c r="R9" s="20"/>
      <c r="S9" s="20"/>
      <c r="T9" s="20"/>
      <c r="U9" s="20"/>
      <c r="V9" s="25"/>
      <c r="W9" s="26"/>
      <c r="X9" s="749" t="s">
        <v>68</v>
      </c>
      <c r="Y9" s="750"/>
      <c r="Z9" s="750"/>
      <c r="AA9" s="751"/>
      <c r="AB9" s="27"/>
      <c r="AC9" s="18"/>
    </row>
    <row r="10" spans="1:29">
      <c r="A10" s="98" t="s">
        <v>478</v>
      </c>
      <c r="B10" s="378">
        <f>'New Hire'!C7</f>
        <v>43466</v>
      </c>
      <c r="C10" s="379">
        <f>'New Hire'!D7</f>
        <v>43466</v>
      </c>
      <c r="D10" s="379">
        <f>'New Hire'!E7</f>
        <v>43473</v>
      </c>
      <c r="E10" s="379">
        <f>'New Hire'!F7</f>
        <v>43466</v>
      </c>
      <c r="F10" s="379">
        <f>'New Hire'!G7</f>
        <v>43466</v>
      </c>
      <c r="G10" s="379">
        <f>'New Hire'!H7</f>
        <v>43466</v>
      </c>
      <c r="H10" s="379">
        <f>'New Hire'!I7</f>
        <v>43466</v>
      </c>
      <c r="I10" s="379">
        <f>'New Hire'!J7</f>
        <v>43483</v>
      </c>
      <c r="J10" s="421">
        <f>'New Hire'!K7</f>
        <v>43494</v>
      </c>
      <c r="K10" s="379">
        <f>'New Hire'!L7</f>
        <v>43466</v>
      </c>
      <c r="L10" s="379">
        <f>'New Hire'!M7</f>
        <v>43466</v>
      </c>
      <c r="M10" s="379">
        <f>'New Hire'!N7</f>
        <v>43466</v>
      </c>
      <c r="N10" s="379">
        <f>'New Hire'!O7</f>
        <v>43466</v>
      </c>
      <c r="O10" s="379">
        <f>'New Hire'!P7</f>
        <v>43466</v>
      </c>
      <c r="P10" s="336"/>
      <c r="Q10" s="20"/>
      <c r="R10" s="20"/>
      <c r="S10" s="20"/>
      <c r="T10" s="20"/>
      <c r="U10" s="20"/>
      <c r="V10" s="28"/>
      <c r="W10" s="29"/>
      <c r="X10" s="752"/>
      <c r="Y10" s="753"/>
      <c r="Z10" s="753"/>
      <c r="AA10" s="754"/>
      <c r="AB10" s="30"/>
      <c r="AC10" s="15"/>
    </row>
    <row r="11" spans="1:29" ht="12.75" customHeight="1">
      <c r="A11" s="98" t="s">
        <v>489</v>
      </c>
      <c r="B11" s="381" t="str">
        <f>'New Hire'!C10</f>
        <v>1</v>
      </c>
      <c r="C11" s="382" t="str">
        <f>'New Hire'!D10</f>
        <v>P</v>
      </c>
      <c r="D11" s="382" t="str">
        <f>'New Hire'!E10</f>
        <v>3</v>
      </c>
      <c r="E11" s="382" t="str">
        <f>'New Hire'!F10</f>
        <v>3</v>
      </c>
      <c r="F11" s="382">
        <f>'New Hire'!G10</f>
        <v>4</v>
      </c>
      <c r="G11" s="382" t="str">
        <f>'New Hire'!H10</f>
        <v>C</v>
      </c>
      <c r="H11" s="382" t="str">
        <f>'New Hire'!I10</f>
        <v>I</v>
      </c>
      <c r="I11" s="382" t="str">
        <f>'New Hire'!J10</f>
        <v>S</v>
      </c>
      <c r="J11" s="422" t="str">
        <f>'New Hire'!K10</f>
        <v>P</v>
      </c>
      <c r="K11" s="382" t="str">
        <f>'New Hire'!L10</f>
        <v>1</v>
      </c>
      <c r="L11" s="382" t="str">
        <f>'New Hire'!M10</f>
        <v>1</v>
      </c>
      <c r="M11" s="382">
        <f>'New Hire'!N10</f>
        <v>3</v>
      </c>
      <c r="N11" s="382">
        <f>'New Hire'!O10</f>
        <v>3</v>
      </c>
      <c r="O11" s="382" t="str">
        <f>'New Hire'!P10</f>
        <v>C</v>
      </c>
      <c r="P11" s="336"/>
      <c r="Q11" s="20"/>
      <c r="R11" s="20"/>
      <c r="S11" s="20"/>
      <c r="T11" s="20"/>
      <c r="U11" s="20"/>
      <c r="V11" s="32"/>
      <c r="W11" s="20"/>
      <c r="X11" s="752"/>
      <c r="Y11" s="753"/>
      <c r="Z11" s="753"/>
      <c r="AA11" s="754"/>
      <c r="AB11" s="20"/>
      <c r="AC11" s="15"/>
    </row>
    <row r="12" spans="1:29" ht="12.75" customHeight="1">
      <c r="A12" s="98" t="s">
        <v>490</v>
      </c>
      <c r="B12" s="384" t="str">
        <f>'New Hire'!C11</f>
        <v>;P</v>
      </c>
      <c r="C12" s="385" t="str">
        <f>'New Hire'!D11</f>
        <v>;A</v>
      </c>
      <c r="D12" s="385" t="str">
        <f>'New Hire'!E11</f>
        <v>;E</v>
      </c>
      <c r="E12" s="385" t="str">
        <f>'New Hire'!F11</f>
        <v>;I</v>
      </c>
      <c r="F12" s="385" t="str">
        <f>'New Hire'!G11</f>
        <v>;P</v>
      </c>
      <c r="G12" s="385" t="str">
        <f>'New Hire'!H11</f>
        <v>;A</v>
      </c>
      <c r="H12" s="385" t="str">
        <f>'New Hire'!I11</f>
        <v>;A</v>
      </c>
      <c r="I12" s="385" t="str">
        <f>'New Hire'!J11</f>
        <v>;V</v>
      </c>
      <c r="J12" s="423" t="str">
        <f>'New Hire'!K11</f>
        <v>;P</v>
      </c>
      <c r="K12" s="385" t="str">
        <f>'New Hire'!L11</f>
        <v>;A</v>
      </c>
      <c r="L12" s="385" t="str">
        <f>'New Hire'!M11</f>
        <v>;I</v>
      </c>
      <c r="M12" s="385" t="str">
        <f>'New Hire'!N11</f>
        <v>;P</v>
      </c>
      <c r="N12" s="385" t="str">
        <f>'New Hire'!O11</f>
        <v>;P</v>
      </c>
      <c r="O12" s="385" t="str">
        <f>'New Hire'!P11</f>
        <v>;I</v>
      </c>
      <c r="P12" s="336"/>
      <c r="Q12" s="20"/>
      <c r="R12" s="20"/>
      <c r="S12" s="20"/>
      <c r="T12" s="20"/>
      <c r="U12" s="20"/>
      <c r="V12" s="32"/>
      <c r="W12" s="20"/>
      <c r="X12" s="755"/>
      <c r="Y12" s="756"/>
      <c r="Z12" s="756"/>
      <c r="AA12" s="757"/>
      <c r="AB12" s="20"/>
      <c r="AC12" s="15"/>
    </row>
    <row r="13" spans="1:29">
      <c r="A13" s="99" t="s">
        <v>476</v>
      </c>
      <c r="B13" s="648">
        <f>'New Hire'!C27</f>
        <v>1</v>
      </c>
      <c r="C13" s="649">
        <f>'New Hire'!D27</f>
        <v>0.9</v>
      </c>
      <c r="D13" s="649">
        <f>'New Hire'!E27</f>
        <v>1</v>
      </c>
      <c r="E13" s="649">
        <f>'New Hire'!F27</f>
        <v>1</v>
      </c>
      <c r="F13" s="649">
        <f>'New Hire'!G27</f>
        <v>0.8</v>
      </c>
      <c r="G13" s="649">
        <f>'New Hire'!H27</f>
        <v>1</v>
      </c>
      <c r="H13" s="649">
        <f>'New Hire'!I27</f>
        <v>0.5</v>
      </c>
      <c r="I13" s="649">
        <f>'New Hire'!J27</f>
        <v>0.75</v>
      </c>
      <c r="J13" s="650">
        <f>'New Hire'!K27</f>
        <v>0.6</v>
      </c>
      <c r="K13" s="649">
        <f>'New Hire'!L27</f>
        <v>1</v>
      </c>
      <c r="L13" s="649">
        <f>'New Hire'!M27</f>
        <v>1</v>
      </c>
      <c r="M13" s="649">
        <f>'New Hire'!N27</f>
        <v>1</v>
      </c>
      <c r="N13" s="649">
        <f>'New Hire'!O27</f>
        <v>1</v>
      </c>
      <c r="O13" s="649">
        <f>'New Hire'!P27</f>
        <v>1</v>
      </c>
      <c r="P13" s="336"/>
      <c r="Q13" s="20"/>
      <c r="R13" s="20"/>
      <c r="S13" s="20"/>
      <c r="T13" s="20"/>
      <c r="U13" s="20"/>
      <c r="V13" s="23"/>
      <c r="W13" s="19"/>
      <c r="X13" s="19"/>
      <c r="Y13" s="19"/>
      <c r="Z13" s="19"/>
      <c r="AA13" s="19"/>
      <c r="AB13" s="19"/>
      <c r="AC13" s="31"/>
    </row>
    <row r="14" spans="1:29">
      <c r="A14" s="98" t="s">
        <v>479</v>
      </c>
      <c r="B14" s="388">
        <f t="shared" ref="B14:O14" si="0">NETWORKDAYS(B10,$A$6)</f>
        <v>23</v>
      </c>
      <c r="C14" s="332">
        <f t="shared" si="0"/>
        <v>23</v>
      </c>
      <c r="D14" s="332">
        <f t="shared" si="0"/>
        <v>18</v>
      </c>
      <c r="E14" s="332">
        <f t="shared" si="0"/>
        <v>23</v>
      </c>
      <c r="F14" s="332">
        <f t="shared" si="0"/>
        <v>23</v>
      </c>
      <c r="G14" s="332">
        <f t="shared" si="0"/>
        <v>23</v>
      </c>
      <c r="H14" s="332">
        <f t="shared" si="0"/>
        <v>23</v>
      </c>
      <c r="I14" s="332">
        <f t="shared" si="0"/>
        <v>10</v>
      </c>
      <c r="J14" s="425">
        <f t="shared" si="0"/>
        <v>3</v>
      </c>
      <c r="K14" s="332">
        <f t="shared" si="0"/>
        <v>23</v>
      </c>
      <c r="L14" s="332">
        <f t="shared" si="0"/>
        <v>23</v>
      </c>
      <c r="M14" s="332">
        <f t="shared" si="0"/>
        <v>23</v>
      </c>
      <c r="N14" s="332">
        <f t="shared" si="0"/>
        <v>23</v>
      </c>
      <c r="O14" s="332">
        <f t="shared" si="0"/>
        <v>23</v>
      </c>
      <c r="P14" s="336"/>
      <c r="Q14" s="20"/>
      <c r="R14" s="20"/>
      <c r="S14" s="20"/>
      <c r="T14" s="20"/>
      <c r="U14" s="20"/>
      <c r="V14" s="23"/>
      <c r="W14" s="19"/>
      <c r="X14" s="19"/>
      <c r="Y14" s="19"/>
      <c r="Z14" s="19"/>
      <c r="AA14" s="19"/>
      <c r="AB14" s="19"/>
      <c r="AC14" s="31"/>
    </row>
    <row r="15" spans="1:29">
      <c r="A15" s="417" t="s">
        <v>627</v>
      </c>
      <c r="B15" s="332">
        <f>NETWORKDAYS(EOMONTH($A$6,-1)+1,EOMONTH($A$6,0))</f>
        <v>23</v>
      </c>
      <c r="C15" s="332">
        <f t="shared" ref="C15:O15" si="1">NETWORKDAYS(EOMONTH($A$6,-1)+1,EOMONTH($A$6,0))</f>
        <v>23</v>
      </c>
      <c r="D15" s="332">
        <f t="shared" si="1"/>
        <v>23</v>
      </c>
      <c r="E15" s="332">
        <f t="shared" si="1"/>
        <v>23</v>
      </c>
      <c r="F15" s="332">
        <f t="shared" si="1"/>
        <v>23</v>
      </c>
      <c r="G15" s="332">
        <f t="shared" si="1"/>
        <v>23</v>
      </c>
      <c r="H15" s="332">
        <f t="shared" si="1"/>
        <v>23</v>
      </c>
      <c r="I15" s="332">
        <f t="shared" si="1"/>
        <v>23</v>
      </c>
      <c r="J15" s="425">
        <f t="shared" si="1"/>
        <v>23</v>
      </c>
      <c r="K15" s="332">
        <f t="shared" si="1"/>
        <v>23</v>
      </c>
      <c r="L15" s="332">
        <f t="shared" si="1"/>
        <v>23</v>
      </c>
      <c r="M15" s="332">
        <f t="shared" si="1"/>
        <v>23</v>
      </c>
      <c r="N15" s="332">
        <f t="shared" si="1"/>
        <v>23</v>
      </c>
      <c r="O15" s="332">
        <f t="shared" si="1"/>
        <v>23</v>
      </c>
      <c r="P15" s="336"/>
      <c r="Q15" s="20"/>
      <c r="R15" s="20"/>
      <c r="S15" s="20"/>
      <c r="T15" s="20"/>
      <c r="U15" s="20"/>
      <c r="V15" s="23"/>
      <c r="W15" s="19"/>
      <c r="X15" s="19"/>
      <c r="Y15" s="19"/>
      <c r="Z15" s="19"/>
      <c r="AA15" s="19"/>
      <c r="AB15" s="19"/>
      <c r="AC15" s="31"/>
    </row>
    <row r="16" spans="1:29">
      <c r="A16" s="98" t="s">
        <v>511</v>
      </c>
      <c r="B16" s="390">
        <f t="shared" ref="B16:O16" si="2">_xlfn.DAYS($A$6,B10)+1</f>
        <v>31</v>
      </c>
      <c r="C16" s="329">
        <f t="shared" si="2"/>
        <v>31</v>
      </c>
      <c r="D16" s="329">
        <f t="shared" si="2"/>
        <v>24</v>
      </c>
      <c r="E16" s="329">
        <f t="shared" si="2"/>
        <v>31</v>
      </c>
      <c r="F16" s="329">
        <f t="shared" si="2"/>
        <v>31</v>
      </c>
      <c r="G16" s="329">
        <f t="shared" si="2"/>
        <v>31</v>
      </c>
      <c r="H16" s="329">
        <f t="shared" si="2"/>
        <v>31</v>
      </c>
      <c r="I16" s="329">
        <f t="shared" si="2"/>
        <v>14</v>
      </c>
      <c r="J16" s="426">
        <f t="shared" si="2"/>
        <v>3</v>
      </c>
      <c r="K16" s="329">
        <f t="shared" si="2"/>
        <v>31</v>
      </c>
      <c r="L16" s="329">
        <f t="shared" si="2"/>
        <v>31</v>
      </c>
      <c r="M16" s="329">
        <f t="shared" si="2"/>
        <v>31</v>
      </c>
      <c r="N16" s="329">
        <f t="shared" si="2"/>
        <v>31</v>
      </c>
      <c r="O16" s="329">
        <f t="shared" si="2"/>
        <v>31</v>
      </c>
      <c r="P16" s="336"/>
      <c r="Q16" s="20"/>
      <c r="R16" s="20"/>
      <c r="S16" s="20"/>
      <c r="T16" s="20"/>
      <c r="U16" s="20"/>
      <c r="V16" s="23"/>
      <c r="W16" s="19"/>
      <c r="X16" s="19"/>
      <c r="Y16" s="19"/>
      <c r="Z16" s="19"/>
      <c r="AA16" s="19"/>
      <c r="AB16" s="19"/>
      <c r="AC16" s="31"/>
    </row>
    <row r="17" spans="1:29">
      <c r="A17" s="98" t="s">
        <v>531</v>
      </c>
      <c r="B17" s="330">
        <f>DATEDIF('New Hire'!C41,$A$6,"Y")</f>
        <v>9</v>
      </c>
      <c r="C17" s="331">
        <f>DATEDIF('New Hire'!D41,$A$6,"Y")</f>
        <v>12</v>
      </c>
      <c r="D17" s="331">
        <f>DATEDIF('New Hire'!E41,$A$6,"Y")</f>
        <v>0</v>
      </c>
      <c r="E17" s="331">
        <f>DATEDIF('New Hire'!F41,$A$6,"Y")</f>
        <v>3</v>
      </c>
      <c r="F17" s="331">
        <f>DATEDIF('New Hire'!G41,$A$6,"Y")</f>
        <v>9</v>
      </c>
      <c r="G17" s="331">
        <f>DATEDIF('New Hire'!H41,$A$6,"Y")</f>
        <v>0</v>
      </c>
      <c r="H17" s="331">
        <f>DATEDIF('New Hire'!I41,$A$6,"Y")</f>
        <v>14</v>
      </c>
      <c r="I17" s="331">
        <f>DATEDIF('New Hire'!J41,$A$6,"Y")</f>
        <v>0</v>
      </c>
      <c r="J17" s="424">
        <f>DATEDIF('New Hire'!K41,$A$6,"Y")</f>
        <v>0</v>
      </c>
      <c r="K17" s="331">
        <f>DATEDIF('New Hire'!L41,$A$6,"Y")</f>
        <v>9</v>
      </c>
      <c r="L17" s="331">
        <f>DATEDIF('New Hire'!M41,$A$6,"Y")</f>
        <v>4</v>
      </c>
      <c r="M17" s="331">
        <f>DATEDIF('New Hire'!N41,$A$6,"Y")</f>
        <v>0</v>
      </c>
      <c r="N17" s="331">
        <f>DATEDIF('New Hire'!O41,$A$6,"Y")</f>
        <v>11</v>
      </c>
      <c r="O17" s="331">
        <f>DATEDIF('New Hire'!P41,$A$6,"Y")</f>
        <v>0</v>
      </c>
      <c r="P17" s="336"/>
      <c r="Q17" s="20"/>
      <c r="R17" s="20"/>
      <c r="S17" s="20"/>
      <c r="T17" s="20"/>
      <c r="U17" s="20"/>
      <c r="V17" s="23"/>
      <c r="W17" s="19"/>
      <c r="X17" s="19"/>
      <c r="Y17" s="19"/>
      <c r="Z17" s="19"/>
      <c r="AA17" s="19"/>
      <c r="AB17" s="19"/>
      <c r="AC17" s="31"/>
    </row>
    <row r="18" spans="1:29">
      <c r="A18" s="98" t="s">
        <v>563</v>
      </c>
      <c r="B18" s="330" t="str">
        <f>'New Hire'!C52</f>
        <v>A</v>
      </c>
      <c r="C18" s="331" t="str">
        <f>'New Hire'!D52</f>
        <v>A</v>
      </c>
      <c r="D18" s="331" t="str">
        <f>'New Hire'!E52</f>
        <v>A</v>
      </c>
      <c r="E18" s="331" t="str">
        <f>'New Hire'!F52</f>
        <v>B</v>
      </c>
      <c r="F18" s="331" t="str">
        <f>'New Hire'!G52</f>
        <v>B</v>
      </c>
      <c r="G18" s="331" t="str">
        <f>'New Hire'!H52</f>
        <v>C</v>
      </c>
      <c r="H18" s="331" t="str">
        <f>'New Hire'!I52</f>
        <v>D</v>
      </c>
      <c r="I18" s="331" t="str">
        <f>'New Hire'!J52</f>
        <v>D</v>
      </c>
      <c r="J18" s="424" t="str">
        <f>'New Hire'!K52</f>
        <v>A</v>
      </c>
      <c r="K18" s="331" t="str">
        <f>'New Hire'!L52</f>
        <v>A</v>
      </c>
      <c r="L18" s="331" t="str">
        <f>'New Hire'!M52</f>
        <v>A</v>
      </c>
      <c r="M18" s="331" t="str">
        <f>'New Hire'!N52</f>
        <v>A</v>
      </c>
      <c r="N18" s="331" t="str">
        <f>'New Hire'!O52</f>
        <v>A</v>
      </c>
      <c r="O18" s="331" t="str">
        <f>'New Hire'!P52</f>
        <v>B</v>
      </c>
      <c r="P18" s="336"/>
      <c r="Q18" s="20"/>
      <c r="R18" s="20"/>
      <c r="S18" s="20"/>
      <c r="T18" s="20"/>
      <c r="U18" s="20"/>
      <c r="V18" s="23"/>
      <c r="W18" s="19"/>
      <c r="X18" s="19"/>
      <c r="Y18" s="19"/>
      <c r="Z18" s="19"/>
      <c r="AA18" s="19"/>
      <c r="AB18" s="19"/>
      <c r="AC18" s="31"/>
    </row>
    <row r="19" spans="1:29">
      <c r="A19" s="97" t="s">
        <v>107</v>
      </c>
      <c r="B19" s="661">
        <v>1</v>
      </c>
      <c r="C19" s="88">
        <v>2</v>
      </c>
      <c r="D19" s="88">
        <v>1</v>
      </c>
      <c r="E19" s="88">
        <v>3</v>
      </c>
      <c r="F19" s="88">
        <v>0</v>
      </c>
      <c r="G19" s="88">
        <v>0</v>
      </c>
      <c r="H19" s="88">
        <v>2</v>
      </c>
      <c r="I19" s="88">
        <v>0</v>
      </c>
      <c r="J19" s="427">
        <v>0</v>
      </c>
      <c r="K19" s="88">
        <v>0</v>
      </c>
      <c r="L19" s="88">
        <v>0</v>
      </c>
      <c r="M19" s="88">
        <v>0</v>
      </c>
      <c r="N19" s="88">
        <v>0</v>
      </c>
      <c r="O19" s="88">
        <v>0</v>
      </c>
      <c r="P19" s="336"/>
      <c r="Q19" s="20"/>
      <c r="R19" s="20"/>
      <c r="S19" s="20"/>
      <c r="T19" s="20"/>
      <c r="U19" s="20"/>
      <c r="V19" s="23"/>
      <c r="W19" s="19"/>
      <c r="X19" s="19"/>
      <c r="Y19" s="19"/>
      <c r="Z19" s="19"/>
      <c r="AA19" s="19"/>
      <c r="AB19" s="19"/>
      <c r="AC19" s="31"/>
    </row>
    <row r="20" spans="1:29" ht="15.6">
      <c r="A20" s="450" t="s">
        <v>1190</v>
      </c>
      <c r="B20" s="89">
        <f>IF(OR(B18="A",B18="C"),3600000*B19,0)</f>
        <v>3600000</v>
      </c>
      <c r="C20" s="89">
        <f t="shared" ref="C20:O20" si="3">IF(OR(C18="A",C18="C"),3600000*C19,0)</f>
        <v>7200000</v>
      </c>
      <c r="D20" s="89">
        <f t="shared" si="3"/>
        <v>3600000</v>
      </c>
      <c r="E20" s="89">
        <f t="shared" si="3"/>
        <v>0</v>
      </c>
      <c r="F20" s="89">
        <f t="shared" si="3"/>
        <v>0</v>
      </c>
      <c r="G20" s="89">
        <f t="shared" si="3"/>
        <v>0</v>
      </c>
      <c r="H20" s="89">
        <f t="shared" si="3"/>
        <v>0</v>
      </c>
      <c r="I20" s="89">
        <f t="shared" si="3"/>
        <v>0</v>
      </c>
      <c r="J20" s="428">
        <f t="shared" si="3"/>
        <v>0</v>
      </c>
      <c r="K20" s="89">
        <f t="shared" si="3"/>
        <v>0</v>
      </c>
      <c r="L20" s="89">
        <f t="shared" si="3"/>
        <v>0</v>
      </c>
      <c r="M20" s="89">
        <f t="shared" si="3"/>
        <v>0</v>
      </c>
      <c r="N20" s="89">
        <f t="shared" si="3"/>
        <v>0</v>
      </c>
      <c r="O20" s="89">
        <f t="shared" si="3"/>
        <v>0</v>
      </c>
      <c r="P20" s="589">
        <f>SUM(B20:O20)-J20</f>
        <v>14400000</v>
      </c>
      <c r="Q20" s="20"/>
      <c r="R20" s="20"/>
      <c r="S20" s="20"/>
      <c r="T20" s="20"/>
      <c r="U20" s="20"/>
      <c r="V20" s="40"/>
      <c r="W20" s="41"/>
      <c r="X20" s="19"/>
      <c r="Y20" s="19"/>
      <c r="Z20" s="19"/>
      <c r="AA20" s="19"/>
      <c r="AB20" s="16"/>
      <c r="AC20" s="17"/>
    </row>
    <row r="21" spans="1:29">
      <c r="A21" s="450" t="s">
        <v>1189</v>
      </c>
      <c r="B21" s="89">
        <f>IF(OR(B18="A",B18="C"),9000000,0)</f>
        <v>9000000</v>
      </c>
      <c r="C21" s="89">
        <f t="shared" ref="C21:O21" si="4">IF(OR(C18="A",C18="C"),9000000,0)</f>
        <v>9000000</v>
      </c>
      <c r="D21" s="89">
        <f t="shared" si="4"/>
        <v>9000000</v>
      </c>
      <c r="E21" s="89">
        <f t="shared" si="4"/>
        <v>0</v>
      </c>
      <c r="F21" s="89">
        <f t="shared" si="4"/>
        <v>0</v>
      </c>
      <c r="G21" s="89">
        <f t="shared" si="4"/>
        <v>9000000</v>
      </c>
      <c r="H21" s="89">
        <f t="shared" si="4"/>
        <v>0</v>
      </c>
      <c r="I21" s="89">
        <f t="shared" si="4"/>
        <v>0</v>
      </c>
      <c r="J21" s="428">
        <f t="shared" si="4"/>
        <v>9000000</v>
      </c>
      <c r="K21" s="89">
        <f t="shared" si="4"/>
        <v>9000000</v>
      </c>
      <c r="L21" s="89">
        <f t="shared" si="4"/>
        <v>9000000</v>
      </c>
      <c r="M21" s="89">
        <f t="shared" si="4"/>
        <v>9000000</v>
      </c>
      <c r="N21" s="89">
        <f t="shared" si="4"/>
        <v>9000000</v>
      </c>
      <c r="O21" s="89">
        <f t="shared" si="4"/>
        <v>0</v>
      </c>
      <c r="P21" s="589">
        <f>SUM(B21:O21)-J21</f>
        <v>72000000</v>
      </c>
      <c r="Q21" s="20"/>
      <c r="R21" s="20"/>
      <c r="S21" s="20"/>
      <c r="T21" s="20"/>
      <c r="U21" s="20"/>
      <c r="V21" s="50"/>
      <c r="W21" s="44"/>
      <c r="X21" s="44"/>
      <c r="Y21" s="44"/>
      <c r="Z21" s="44"/>
      <c r="AA21" s="44"/>
      <c r="AB21" s="44"/>
      <c r="AC21" s="51"/>
    </row>
    <row r="22" spans="1:29" ht="15.6">
      <c r="A22" s="406" t="s">
        <v>53</v>
      </c>
      <c r="B22" s="64"/>
      <c r="C22" s="65"/>
      <c r="D22" s="65"/>
      <c r="E22" s="66"/>
      <c r="F22" s="65"/>
      <c r="G22" s="65"/>
      <c r="H22" s="21"/>
      <c r="I22" s="65"/>
      <c r="J22" s="430"/>
      <c r="K22" s="66"/>
      <c r="L22" s="66"/>
      <c r="M22" s="66"/>
      <c r="N22" s="66"/>
      <c r="O22" s="376"/>
      <c r="P22" s="376"/>
      <c r="Q22" s="66"/>
      <c r="R22" s="66"/>
      <c r="S22" s="66"/>
      <c r="T22" s="66"/>
      <c r="U22" s="66"/>
      <c r="V22" s="112" t="s">
        <v>57</v>
      </c>
      <c r="W22" s="113" t="s">
        <v>67</v>
      </c>
      <c r="X22" s="113" t="s">
        <v>69</v>
      </c>
      <c r="Y22" s="113" t="s">
        <v>70</v>
      </c>
      <c r="Z22" s="113" t="s">
        <v>56</v>
      </c>
      <c r="AA22" s="113" t="s">
        <v>54</v>
      </c>
      <c r="AB22" s="113" t="s">
        <v>58</v>
      </c>
      <c r="AC22" s="114" t="s">
        <v>59</v>
      </c>
    </row>
    <row r="23" spans="1:29">
      <c r="A23" s="407" t="s">
        <v>55</v>
      </c>
      <c r="B23" s="64"/>
      <c r="C23" s="65"/>
      <c r="D23" s="65"/>
      <c r="E23" s="66"/>
      <c r="F23" s="65"/>
      <c r="G23" s="65"/>
      <c r="H23" s="21"/>
      <c r="I23" s="65"/>
      <c r="J23" s="430"/>
      <c r="K23" s="66"/>
      <c r="L23" s="66"/>
      <c r="M23" s="66"/>
      <c r="N23" s="66"/>
      <c r="O23" s="376"/>
      <c r="P23" s="376"/>
      <c r="Q23" s="66"/>
      <c r="R23" s="66"/>
      <c r="S23" s="66"/>
      <c r="T23" s="66"/>
      <c r="U23" s="66"/>
      <c r="V23" s="350" t="s">
        <v>2</v>
      </c>
      <c r="W23" s="351">
        <v>91999901</v>
      </c>
      <c r="X23" s="352" t="s">
        <v>505</v>
      </c>
      <c r="Y23" s="352" t="s">
        <v>506</v>
      </c>
      <c r="Z23" s="353" t="s">
        <v>507</v>
      </c>
      <c r="AA23" s="354">
        <v>8000000</v>
      </c>
      <c r="AB23" s="352"/>
      <c r="AC23" s="355"/>
    </row>
    <row r="24" spans="1:29">
      <c r="A24" s="436" t="s">
        <v>477</v>
      </c>
      <c r="B24" s="326">
        <f t="shared" ref="B24:O24" si="5">IF(B11="C",0,ROUND(B134*B83,0))</f>
        <v>5000000</v>
      </c>
      <c r="C24" s="326">
        <f t="shared" si="5"/>
        <v>4050000</v>
      </c>
      <c r="D24" s="326">
        <f t="shared" si="5"/>
        <v>5478261</v>
      </c>
      <c r="E24" s="326">
        <f t="shared" si="5"/>
        <v>9000000</v>
      </c>
      <c r="F24" s="326">
        <f t="shared" si="5"/>
        <v>11200000</v>
      </c>
      <c r="G24" s="326">
        <f t="shared" si="5"/>
        <v>0</v>
      </c>
      <c r="H24" s="326">
        <f t="shared" si="5"/>
        <v>51051000</v>
      </c>
      <c r="I24" s="326">
        <f t="shared" si="5"/>
        <v>27240652</v>
      </c>
      <c r="J24" s="431">
        <f t="shared" si="5"/>
        <v>3913044</v>
      </c>
      <c r="K24" s="326">
        <f t="shared" si="5"/>
        <v>8000000</v>
      </c>
      <c r="L24" s="326">
        <f t="shared" si="5"/>
        <v>90000000</v>
      </c>
      <c r="M24" s="326">
        <f t="shared" si="5"/>
        <v>5000000</v>
      </c>
      <c r="N24" s="326">
        <f t="shared" si="5"/>
        <v>6500000</v>
      </c>
      <c r="O24" s="326">
        <f t="shared" si="5"/>
        <v>0</v>
      </c>
      <c r="P24" s="338">
        <f>SUM(B24:O24)-J24</f>
        <v>222519913</v>
      </c>
      <c r="Q24" s="89" t="s">
        <v>523</v>
      </c>
      <c r="R24" s="89" t="s">
        <v>524</v>
      </c>
      <c r="S24" s="89" t="s">
        <v>524</v>
      </c>
      <c r="T24" s="89" t="s">
        <v>525</v>
      </c>
      <c r="U24" s="89" t="s">
        <v>524</v>
      </c>
      <c r="V24" s="350" t="s">
        <v>2</v>
      </c>
      <c r="W24" s="351">
        <v>91999902</v>
      </c>
      <c r="X24" s="352" t="s">
        <v>505</v>
      </c>
      <c r="Y24" s="352" t="s">
        <v>506</v>
      </c>
      <c r="Z24" s="353" t="s">
        <v>507</v>
      </c>
      <c r="AA24" s="354">
        <v>8000000</v>
      </c>
      <c r="AB24" s="352"/>
      <c r="AC24" s="355"/>
    </row>
    <row r="25" spans="1:29">
      <c r="A25" s="442" t="s">
        <v>494</v>
      </c>
      <c r="B25" s="326">
        <f t="shared" ref="B25:O25" si="6">ROUND(B120*B83,0)</f>
        <v>500000</v>
      </c>
      <c r="C25" s="326">
        <f t="shared" si="6"/>
        <v>405000</v>
      </c>
      <c r="D25" s="326">
        <f t="shared" si="6"/>
        <v>547826</v>
      </c>
      <c r="E25" s="326">
        <f t="shared" si="6"/>
        <v>0</v>
      </c>
      <c r="F25" s="326">
        <f t="shared" si="6"/>
        <v>0</v>
      </c>
      <c r="G25" s="326">
        <f t="shared" si="6"/>
        <v>0</v>
      </c>
      <c r="H25" s="326">
        <f t="shared" si="6"/>
        <v>5801250</v>
      </c>
      <c r="I25" s="326">
        <f t="shared" si="6"/>
        <v>0</v>
      </c>
      <c r="J25" s="431">
        <f t="shared" si="6"/>
        <v>391304</v>
      </c>
      <c r="K25" s="326">
        <f t="shared" si="6"/>
        <v>800000</v>
      </c>
      <c r="L25" s="326">
        <f t="shared" si="6"/>
        <v>0</v>
      </c>
      <c r="M25" s="326">
        <f t="shared" si="6"/>
        <v>1000000</v>
      </c>
      <c r="N25" s="326">
        <f t="shared" si="6"/>
        <v>1000000</v>
      </c>
      <c r="O25" s="326">
        <f t="shared" si="6"/>
        <v>0</v>
      </c>
      <c r="P25" s="338">
        <f t="shared" ref="P25:P57" si="7">SUM(B25:O25)-J25</f>
        <v>10054076</v>
      </c>
      <c r="Q25" s="373" t="s">
        <v>564</v>
      </c>
      <c r="R25" s="373" t="s">
        <v>564</v>
      </c>
      <c r="S25" s="373" t="s">
        <v>564</v>
      </c>
      <c r="T25" s="373" t="s">
        <v>564</v>
      </c>
      <c r="U25" s="89" t="s">
        <v>523</v>
      </c>
      <c r="V25" s="350" t="s">
        <v>2</v>
      </c>
      <c r="W25" s="351">
        <v>91999904</v>
      </c>
      <c r="X25" s="352" t="s">
        <v>505</v>
      </c>
      <c r="Y25" s="352" t="s">
        <v>506</v>
      </c>
      <c r="Z25" s="353" t="s">
        <v>507</v>
      </c>
      <c r="AA25" s="354">
        <v>8000000</v>
      </c>
      <c r="AB25" s="352"/>
      <c r="AC25" s="355"/>
    </row>
    <row r="26" spans="1:29">
      <c r="A26" s="442" t="s">
        <v>566</v>
      </c>
      <c r="B26" s="326">
        <f t="shared" ref="B26:O26" si="8">ROUND(B121*B83,0)</f>
        <v>1000000</v>
      </c>
      <c r="C26" s="326">
        <f t="shared" si="8"/>
        <v>810000</v>
      </c>
      <c r="D26" s="326">
        <f t="shared" si="8"/>
        <v>1095652</v>
      </c>
      <c r="E26" s="326">
        <f t="shared" si="8"/>
        <v>0</v>
      </c>
      <c r="F26" s="326">
        <f t="shared" si="8"/>
        <v>0</v>
      </c>
      <c r="G26" s="326">
        <f t="shared" si="8"/>
        <v>0</v>
      </c>
      <c r="H26" s="326">
        <f t="shared" si="8"/>
        <v>11602500</v>
      </c>
      <c r="I26" s="326">
        <f t="shared" si="8"/>
        <v>0</v>
      </c>
      <c r="J26" s="431">
        <f t="shared" si="8"/>
        <v>782609</v>
      </c>
      <c r="K26" s="326">
        <f t="shared" si="8"/>
        <v>1600000</v>
      </c>
      <c r="L26" s="326">
        <f t="shared" si="8"/>
        <v>0</v>
      </c>
      <c r="M26" s="326">
        <f t="shared" si="8"/>
        <v>1500000</v>
      </c>
      <c r="N26" s="326">
        <f t="shared" si="8"/>
        <v>1500000</v>
      </c>
      <c r="O26" s="326">
        <f t="shared" si="8"/>
        <v>0</v>
      </c>
      <c r="P26" s="338">
        <f t="shared" si="7"/>
        <v>19108152</v>
      </c>
      <c r="Q26" s="373" t="s">
        <v>564</v>
      </c>
      <c r="R26" s="373" t="s">
        <v>564</v>
      </c>
      <c r="S26" s="373" t="s">
        <v>564</v>
      </c>
      <c r="T26" s="373" t="s">
        <v>564</v>
      </c>
      <c r="U26" s="89" t="s">
        <v>523</v>
      </c>
      <c r="V26" s="350" t="s">
        <v>2</v>
      </c>
      <c r="W26" s="351">
        <v>91999905</v>
      </c>
      <c r="X26" s="352" t="s">
        <v>505</v>
      </c>
      <c r="Y26" s="352" t="s">
        <v>506</v>
      </c>
      <c r="Z26" s="353" t="s">
        <v>507</v>
      </c>
      <c r="AA26" s="354">
        <v>8000000</v>
      </c>
      <c r="AB26" s="352"/>
      <c r="AC26" s="355"/>
    </row>
    <row r="27" spans="1:29">
      <c r="A27" s="436" t="s">
        <v>426</v>
      </c>
      <c r="B27" s="326"/>
      <c r="C27" s="326"/>
      <c r="D27" s="326"/>
      <c r="E27" s="326"/>
      <c r="F27" s="326"/>
      <c r="G27" s="326">
        <f>ROUND(G119*AC78,0)+ROUND(G119*AC79,0)</f>
        <v>23205000</v>
      </c>
      <c r="H27" s="326"/>
      <c r="I27" s="326"/>
      <c r="J27" s="431"/>
      <c r="K27" s="326"/>
      <c r="L27" s="326"/>
      <c r="M27" s="326"/>
      <c r="N27" s="326"/>
      <c r="O27" s="326">
        <f>ROUND(O119*AC80,0)+ROUND(O119*AC81,0)</f>
        <v>4000000</v>
      </c>
      <c r="P27" s="338">
        <f t="shared" si="7"/>
        <v>27205000</v>
      </c>
      <c r="Q27" s="373" t="s">
        <v>564</v>
      </c>
      <c r="R27" s="373" t="s">
        <v>564</v>
      </c>
      <c r="S27" s="373"/>
      <c r="T27" s="373"/>
      <c r="U27" s="373"/>
      <c r="V27" s="350" t="s">
        <v>2</v>
      </c>
      <c r="W27" s="351">
        <v>91999907</v>
      </c>
      <c r="X27" s="352" t="s">
        <v>505</v>
      </c>
      <c r="Y27" s="352" t="s">
        <v>506</v>
      </c>
      <c r="Z27" s="353" t="s">
        <v>507</v>
      </c>
      <c r="AA27" s="354">
        <v>8000000</v>
      </c>
      <c r="AB27" s="352"/>
      <c r="AC27" s="355"/>
    </row>
    <row r="28" spans="1:29">
      <c r="A28" s="445" t="s">
        <v>493</v>
      </c>
      <c r="B28" s="326">
        <f t="shared" ref="B28:O28" si="9">ROUND(B122*B83,0)</f>
        <v>3000000</v>
      </c>
      <c r="C28" s="326">
        <f t="shared" si="9"/>
        <v>2700000</v>
      </c>
      <c r="D28" s="326">
        <f t="shared" si="9"/>
        <v>2347826</v>
      </c>
      <c r="E28" s="326">
        <f t="shared" si="9"/>
        <v>3000000</v>
      </c>
      <c r="F28" s="326">
        <f t="shared" si="9"/>
        <v>2400000</v>
      </c>
      <c r="G28" s="326">
        <f t="shared" si="9"/>
        <v>0</v>
      </c>
      <c r="H28" s="326">
        <f t="shared" si="9"/>
        <v>0</v>
      </c>
      <c r="I28" s="326">
        <f t="shared" si="9"/>
        <v>0</v>
      </c>
      <c r="J28" s="431">
        <f t="shared" si="9"/>
        <v>0</v>
      </c>
      <c r="K28" s="326">
        <f t="shared" si="9"/>
        <v>0</v>
      </c>
      <c r="L28" s="326">
        <f t="shared" si="9"/>
        <v>0</v>
      </c>
      <c r="M28" s="326">
        <f t="shared" si="9"/>
        <v>0</v>
      </c>
      <c r="N28" s="326">
        <f t="shared" si="9"/>
        <v>0</v>
      </c>
      <c r="O28" s="326">
        <f t="shared" si="9"/>
        <v>0</v>
      </c>
      <c r="P28" s="338">
        <f t="shared" si="7"/>
        <v>13447826</v>
      </c>
      <c r="Q28" s="373" t="s">
        <v>564</v>
      </c>
      <c r="R28" s="373" t="s">
        <v>565</v>
      </c>
      <c r="S28" s="373"/>
      <c r="T28" s="373"/>
      <c r="U28" s="373"/>
      <c r="V28" s="350" t="s">
        <v>2</v>
      </c>
      <c r="W28" s="351">
        <v>91999907</v>
      </c>
      <c r="X28" s="352" t="s">
        <v>505</v>
      </c>
      <c r="Y28" s="352" t="s">
        <v>506</v>
      </c>
      <c r="Z28" s="353" t="s">
        <v>535</v>
      </c>
      <c r="AA28" s="354">
        <v>7000000</v>
      </c>
      <c r="AB28" s="352"/>
      <c r="AC28" s="355"/>
    </row>
    <row r="29" spans="1:29">
      <c r="A29" s="442" t="s">
        <v>495</v>
      </c>
      <c r="B29" s="326">
        <f t="shared" ref="B29:O29" si="10">ROUND(B123*B83,0)</f>
        <v>1500000</v>
      </c>
      <c r="C29" s="326">
        <f t="shared" si="10"/>
        <v>1350000</v>
      </c>
      <c r="D29" s="326">
        <f t="shared" si="10"/>
        <v>1173913</v>
      </c>
      <c r="E29" s="326">
        <f t="shared" si="10"/>
        <v>0</v>
      </c>
      <c r="F29" s="326">
        <f t="shared" si="10"/>
        <v>0</v>
      </c>
      <c r="G29" s="326">
        <f t="shared" si="10"/>
        <v>0</v>
      </c>
      <c r="H29" s="326">
        <f t="shared" si="10"/>
        <v>1160250</v>
      </c>
      <c r="I29" s="326">
        <f t="shared" si="10"/>
        <v>0</v>
      </c>
      <c r="J29" s="431">
        <f t="shared" si="10"/>
        <v>0</v>
      </c>
      <c r="K29" s="326">
        <f t="shared" si="10"/>
        <v>0</v>
      </c>
      <c r="L29" s="326">
        <f t="shared" si="10"/>
        <v>0</v>
      </c>
      <c r="M29" s="326">
        <f t="shared" si="10"/>
        <v>0</v>
      </c>
      <c r="N29" s="326">
        <f t="shared" si="10"/>
        <v>0</v>
      </c>
      <c r="O29" s="326">
        <f t="shared" si="10"/>
        <v>0</v>
      </c>
      <c r="P29" s="338">
        <f t="shared" si="7"/>
        <v>5184163</v>
      </c>
      <c r="Q29" s="373" t="s">
        <v>564</v>
      </c>
      <c r="R29" s="373" t="s">
        <v>565</v>
      </c>
      <c r="S29" s="373" t="s">
        <v>565</v>
      </c>
      <c r="T29" s="373" t="s">
        <v>523</v>
      </c>
      <c r="U29" s="373"/>
      <c r="V29" s="350" t="s">
        <v>2</v>
      </c>
      <c r="W29" s="351">
        <v>91999907</v>
      </c>
      <c r="X29" s="352" t="s">
        <v>505</v>
      </c>
      <c r="Y29" s="352" t="s">
        <v>506</v>
      </c>
      <c r="Z29" s="353">
        <v>7065</v>
      </c>
      <c r="AA29" s="354">
        <v>100</v>
      </c>
      <c r="AB29" s="438" t="s">
        <v>539</v>
      </c>
      <c r="AC29" s="439"/>
    </row>
    <row r="30" spans="1:29">
      <c r="A30" s="442" t="s">
        <v>497</v>
      </c>
      <c r="B30" s="326">
        <f t="shared" ref="B30:O30" si="11">ROUND(B127*B83,0)</f>
        <v>2000000</v>
      </c>
      <c r="C30" s="326">
        <f t="shared" si="11"/>
        <v>1800000</v>
      </c>
      <c r="D30" s="326">
        <f t="shared" si="11"/>
        <v>1565217</v>
      </c>
      <c r="E30" s="326">
        <f t="shared" si="11"/>
        <v>0</v>
      </c>
      <c r="F30" s="326">
        <f t="shared" si="11"/>
        <v>0</v>
      </c>
      <c r="G30" s="326">
        <f t="shared" si="11"/>
        <v>0</v>
      </c>
      <c r="H30" s="326">
        <f t="shared" si="11"/>
        <v>0</v>
      </c>
      <c r="I30" s="326">
        <f t="shared" si="11"/>
        <v>0</v>
      </c>
      <c r="J30" s="431">
        <f t="shared" si="11"/>
        <v>0</v>
      </c>
      <c r="K30" s="326">
        <f t="shared" si="11"/>
        <v>0</v>
      </c>
      <c r="L30" s="326">
        <f t="shared" si="11"/>
        <v>0</v>
      </c>
      <c r="M30" s="326">
        <f t="shared" si="11"/>
        <v>0</v>
      </c>
      <c r="N30" s="326">
        <f t="shared" si="11"/>
        <v>0</v>
      </c>
      <c r="O30" s="326">
        <f t="shared" si="11"/>
        <v>0</v>
      </c>
      <c r="P30" s="338">
        <f t="shared" si="7"/>
        <v>5365217</v>
      </c>
      <c r="Q30" s="373" t="s">
        <v>564</v>
      </c>
      <c r="R30" s="373" t="s">
        <v>565</v>
      </c>
      <c r="S30" s="373"/>
      <c r="T30" s="373"/>
      <c r="U30" s="373"/>
      <c r="V30" s="350" t="s">
        <v>2</v>
      </c>
      <c r="W30" s="351">
        <v>91999908</v>
      </c>
      <c r="X30" s="352" t="s">
        <v>596</v>
      </c>
      <c r="Y30" s="352" t="s">
        <v>506</v>
      </c>
      <c r="Z30" s="353">
        <v>7065</v>
      </c>
      <c r="AA30" s="354">
        <v>100</v>
      </c>
      <c r="AB30" s="438" t="s">
        <v>539</v>
      </c>
      <c r="AC30" s="439"/>
    </row>
    <row r="31" spans="1:29">
      <c r="A31" s="436" t="s">
        <v>528</v>
      </c>
      <c r="B31" s="326">
        <f t="shared" ref="B31:O31" si="12">ROUND(B124*B83,0)</f>
        <v>2000000</v>
      </c>
      <c r="C31" s="326">
        <f t="shared" si="12"/>
        <v>1800000</v>
      </c>
      <c r="D31" s="326">
        <f t="shared" si="12"/>
        <v>1565217</v>
      </c>
      <c r="E31" s="326">
        <f t="shared" si="12"/>
        <v>0</v>
      </c>
      <c r="F31" s="326">
        <f t="shared" si="12"/>
        <v>0</v>
      </c>
      <c r="G31" s="326">
        <f t="shared" si="12"/>
        <v>0</v>
      </c>
      <c r="H31" s="326">
        <f t="shared" si="12"/>
        <v>4060875</v>
      </c>
      <c r="I31" s="326">
        <f t="shared" si="12"/>
        <v>2534894</v>
      </c>
      <c r="J31" s="431">
        <f t="shared" si="12"/>
        <v>0</v>
      </c>
      <c r="K31" s="326">
        <f t="shared" si="12"/>
        <v>0</v>
      </c>
      <c r="L31" s="326">
        <f t="shared" si="12"/>
        <v>0</v>
      </c>
      <c r="M31" s="326">
        <f t="shared" si="12"/>
        <v>0</v>
      </c>
      <c r="N31" s="326">
        <f t="shared" si="12"/>
        <v>0</v>
      </c>
      <c r="O31" s="326">
        <f t="shared" si="12"/>
        <v>0</v>
      </c>
      <c r="P31" s="338">
        <f t="shared" si="7"/>
        <v>11960986</v>
      </c>
      <c r="Q31" s="89" t="s">
        <v>523</v>
      </c>
      <c r="R31" s="89" t="s">
        <v>523</v>
      </c>
      <c r="S31" s="89" t="s">
        <v>523</v>
      </c>
      <c r="T31" s="89" t="s">
        <v>523</v>
      </c>
      <c r="U31" s="89" t="s">
        <v>523</v>
      </c>
      <c r="V31" s="350" t="s">
        <v>2</v>
      </c>
      <c r="W31" s="351">
        <v>91999907</v>
      </c>
      <c r="X31" s="352" t="s">
        <v>505</v>
      </c>
      <c r="Y31" s="352" t="s">
        <v>506</v>
      </c>
      <c r="Z31" s="353">
        <v>7070</v>
      </c>
      <c r="AA31" s="354">
        <v>200</v>
      </c>
      <c r="AB31" s="438" t="s">
        <v>539</v>
      </c>
      <c r="AC31" s="439"/>
    </row>
    <row r="32" spans="1:29">
      <c r="A32" s="436" t="s">
        <v>1254</v>
      </c>
      <c r="B32" s="326"/>
      <c r="C32" s="326"/>
      <c r="D32" s="326">
        <f>ROUND(AA72*D83,0)</f>
        <v>2347826</v>
      </c>
      <c r="E32" s="326"/>
      <c r="F32" s="326"/>
      <c r="G32" s="326"/>
      <c r="H32" s="326">
        <f>ROUND(AA73*B4*H83,0)</f>
        <v>4641000</v>
      </c>
      <c r="I32" s="326"/>
      <c r="J32" s="431"/>
      <c r="K32" s="326"/>
      <c r="L32" s="326"/>
      <c r="M32" s="326"/>
      <c r="N32" s="326"/>
      <c r="O32" s="326"/>
      <c r="P32" s="338">
        <f t="shared" si="7"/>
        <v>6988826</v>
      </c>
      <c r="Q32" s="89" t="s">
        <v>523</v>
      </c>
      <c r="R32" s="89" t="s">
        <v>523</v>
      </c>
      <c r="S32" s="89"/>
      <c r="T32" s="89"/>
      <c r="U32" s="89"/>
      <c r="V32" s="350" t="s">
        <v>2</v>
      </c>
      <c r="W32" s="351">
        <v>91999908</v>
      </c>
      <c r="X32" s="352" t="s">
        <v>596</v>
      </c>
      <c r="Y32" s="352" t="s">
        <v>506</v>
      </c>
      <c r="Z32" s="353">
        <v>7070</v>
      </c>
      <c r="AA32" s="354">
        <v>200</v>
      </c>
      <c r="AB32" s="438" t="s">
        <v>539</v>
      </c>
      <c r="AC32" s="439"/>
    </row>
    <row r="33" spans="1:29">
      <c r="A33" s="436"/>
      <c r="B33" s="326"/>
      <c r="C33" s="326"/>
      <c r="D33" s="326"/>
      <c r="E33" s="326"/>
      <c r="F33" s="326"/>
      <c r="G33" s="326"/>
      <c r="H33" s="326"/>
      <c r="I33" s="326"/>
      <c r="J33" s="431"/>
      <c r="K33" s="326"/>
      <c r="L33" s="326"/>
      <c r="M33" s="326"/>
      <c r="N33" s="326"/>
      <c r="O33" s="326"/>
      <c r="P33" s="338"/>
      <c r="Q33" s="89"/>
      <c r="R33" s="89"/>
      <c r="S33" s="89"/>
      <c r="T33" s="89"/>
      <c r="U33" s="89"/>
      <c r="V33" s="350" t="s">
        <v>2</v>
      </c>
      <c r="W33" s="351">
        <v>91999901</v>
      </c>
      <c r="X33" s="352" t="s">
        <v>505</v>
      </c>
      <c r="Y33" s="352" t="s">
        <v>506</v>
      </c>
      <c r="Z33" s="353">
        <v>9140</v>
      </c>
      <c r="AA33" s="354"/>
      <c r="AB33" s="438">
        <v>0.76</v>
      </c>
      <c r="AC33" s="439"/>
    </row>
    <row r="34" spans="1:29">
      <c r="A34" s="510" t="s">
        <v>579</v>
      </c>
      <c r="B34" s="326"/>
      <c r="C34" s="326"/>
      <c r="D34" s="326"/>
      <c r="E34" s="326"/>
      <c r="F34" s="326"/>
      <c r="G34" s="326"/>
      <c r="H34" s="326"/>
      <c r="I34" s="326"/>
      <c r="J34" s="431"/>
      <c r="K34" s="326"/>
      <c r="L34" s="326"/>
      <c r="M34" s="326"/>
      <c r="N34" s="326"/>
      <c r="O34" s="326"/>
      <c r="P34" s="338"/>
      <c r="Q34" s="374"/>
      <c r="R34" s="374"/>
      <c r="S34" s="374"/>
      <c r="T34" s="374"/>
      <c r="U34" s="374"/>
      <c r="V34" s="350" t="s">
        <v>2</v>
      </c>
      <c r="W34" s="351">
        <v>91999907</v>
      </c>
      <c r="X34" s="352" t="s">
        <v>505</v>
      </c>
      <c r="Y34" s="352" t="s">
        <v>506</v>
      </c>
      <c r="Z34" s="353">
        <v>9140</v>
      </c>
      <c r="AA34" s="354"/>
      <c r="AB34" s="438">
        <v>0.56000000000000005</v>
      </c>
      <c r="AC34" s="439"/>
    </row>
    <row r="35" spans="1:29">
      <c r="A35" s="445" t="s">
        <v>592</v>
      </c>
      <c r="B35" s="326">
        <f t="shared" ref="B35:O35" si="13">ROUND(B125*B83,0)</f>
        <v>1800000</v>
      </c>
      <c r="C35" s="326">
        <f t="shared" si="13"/>
        <v>1620000</v>
      </c>
      <c r="D35" s="326">
        <f t="shared" si="13"/>
        <v>1408696</v>
      </c>
      <c r="E35" s="326">
        <f t="shared" si="13"/>
        <v>1800000</v>
      </c>
      <c r="F35" s="326">
        <f t="shared" si="13"/>
        <v>1440000</v>
      </c>
      <c r="G35" s="326">
        <f t="shared" si="13"/>
        <v>0</v>
      </c>
      <c r="H35" s="326">
        <f t="shared" si="13"/>
        <v>0</v>
      </c>
      <c r="I35" s="326">
        <f t="shared" si="13"/>
        <v>0</v>
      </c>
      <c r="J35" s="431">
        <f t="shared" si="13"/>
        <v>0</v>
      </c>
      <c r="K35" s="326">
        <f t="shared" si="13"/>
        <v>0</v>
      </c>
      <c r="L35" s="326">
        <f t="shared" si="13"/>
        <v>0</v>
      </c>
      <c r="M35" s="326">
        <f t="shared" si="13"/>
        <v>0</v>
      </c>
      <c r="N35" s="326">
        <f t="shared" si="13"/>
        <v>0</v>
      </c>
      <c r="O35" s="326">
        <f t="shared" si="13"/>
        <v>0</v>
      </c>
      <c r="P35" s="338">
        <f t="shared" si="7"/>
        <v>8068696</v>
      </c>
      <c r="Q35" s="373" t="s">
        <v>564</v>
      </c>
      <c r="R35" s="373"/>
      <c r="S35" s="373"/>
      <c r="T35" s="373"/>
      <c r="U35" s="373" t="s">
        <v>564</v>
      </c>
      <c r="V35" s="350" t="s">
        <v>2</v>
      </c>
      <c r="W35" s="351">
        <v>91999902</v>
      </c>
      <c r="X35" s="438" t="s">
        <v>838</v>
      </c>
      <c r="Y35" s="352" t="s">
        <v>506</v>
      </c>
      <c r="Z35" s="353">
        <v>9150</v>
      </c>
      <c r="AA35" s="354"/>
      <c r="AB35" s="438">
        <v>1</v>
      </c>
      <c r="AC35" s="439"/>
    </row>
    <row r="36" spans="1:29">
      <c r="A36" s="442" t="s">
        <v>491</v>
      </c>
      <c r="B36" s="326">
        <f t="shared" ref="B36:O36" si="14">ROUND(B126*B83,0)</f>
        <v>0</v>
      </c>
      <c r="C36" s="326">
        <f t="shared" si="14"/>
        <v>657000</v>
      </c>
      <c r="D36" s="326">
        <f t="shared" si="14"/>
        <v>571304</v>
      </c>
      <c r="E36" s="326">
        <f t="shared" si="14"/>
        <v>0</v>
      </c>
      <c r="F36" s="326">
        <f t="shared" si="14"/>
        <v>0</v>
      </c>
      <c r="G36" s="326">
        <f t="shared" si="14"/>
        <v>0</v>
      </c>
      <c r="H36" s="326">
        <f t="shared" si="14"/>
        <v>0</v>
      </c>
      <c r="I36" s="326">
        <f t="shared" si="14"/>
        <v>0</v>
      </c>
      <c r="J36" s="431">
        <f t="shared" si="14"/>
        <v>0</v>
      </c>
      <c r="K36" s="326">
        <f t="shared" si="14"/>
        <v>730000</v>
      </c>
      <c r="L36" s="326">
        <f t="shared" si="14"/>
        <v>0</v>
      </c>
      <c r="M36" s="326">
        <f t="shared" si="14"/>
        <v>0</v>
      </c>
      <c r="N36" s="326">
        <f t="shared" si="14"/>
        <v>0</v>
      </c>
      <c r="O36" s="394">
        <f t="shared" si="14"/>
        <v>0</v>
      </c>
      <c r="P36" s="349">
        <f t="shared" si="7"/>
        <v>1958304</v>
      </c>
      <c r="Q36" s="373" t="s">
        <v>564</v>
      </c>
      <c r="R36" s="373"/>
      <c r="S36" s="373"/>
      <c r="T36" s="373"/>
      <c r="U36" s="373" t="s">
        <v>564</v>
      </c>
      <c r="V36" s="350" t="s">
        <v>2</v>
      </c>
      <c r="W36" s="351">
        <v>91999907</v>
      </c>
      <c r="X36" s="438" t="s">
        <v>838</v>
      </c>
      <c r="Y36" s="352" t="s">
        <v>506</v>
      </c>
      <c r="Z36" s="353">
        <v>9150</v>
      </c>
      <c r="AA36" s="354"/>
      <c r="AB36" s="438">
        <v>1</v>
      </c>
      <c r="AC36" s="439"/>
    </row>
    <row r="37" spans="1:29">
      <c r="A37" s="436"/>
      <c r="B37" s="326"/>
      <c r="C37" s="326"/>
      <c r="D37" s="326"/>
      <c r="E37" s="334"/>
      <c r="F37" s="326"/>
      <c r="G37" s="326"/>
      <c r="H37" s="326"/>
      <c r="I37" s="326"/>
      <c r="J37" s="432"/>
      <c r="K37" s="334"/>
      <c r="L37" s="334"/>
      <c r="M37" s="334"/>
      <c r="N37" s="334"/>
      <c r="O37" s="395"/>
      <c r="P37" s="349"/>
      <c r="Q37" s="374"/>
      <c r="R37" s="374"/>
      <c r="S37" s="374"/>
      <c r="T37" s="374"/>
      <c r="U37" s="374"/>
      <c r="V37" s="350" t="s">
        <v>2</v>
      </c>
      <c r="W37" s="351">
        <v>91999913</v>
      </c>
      <c r="X37" s="438" t="s">
        <v>838</v>
      </c>
      <c r="Y37" s="352" t="s">
        <v>506</v>
      </c>
      <c r="Z37" s="353">
        <v>9150</v>
      </c>
      <c r="AA37" s="354"/>
      <c r="AB37" s="438">
        <v>1</v>
      </c>
      <c r="AC37" s="439"/>
    </row>
    <row r="38" spans="1:29">
      <c r="A38" s="510" t="s">
        <v>569</v>
      </c>
      <c r="B38" s="326"/>
      <c r="C38" s="326"/>
      <c r="D38" s="326"/>
      <c r="E38" s="334"/>
      <c r="F38" s="326"/>
      <c r="G38" s="326"/>
      <c r="H38" s="326"/>
      <c r="I38" s="326"/>
      <c r="J38" s="432"/>
      <c r="K38" s="334"/>
      <c r="L38" s="334"/>
      <c r="M38" s="334"/>
      <c r="N38" s="334"/>
      <c r="O38" s="395"/>
      <c r="P38" s="349"/>
      <c r="Q38" s="374"/>
      <c r="R38" s="374"/>
      <c r="S38" s="374"/>
      <c r="T38" s="374"/>
      <c r="U38" s="374"/>
      <c r="V38" s="350" t="s">
        <v>747</v>
      </c>
      <c r="W38" s="351">
        <v>91999905</v>
      </c>
      <c r="X38" s="352" t="s">
        <v>748</v>
      </c>
      <c r="Y38" s="352" t="s">
        <v>506</v>
      </c>
      <c r="Z38" s="353" t="s">
        <v>749</v>
      </c>
      <c r="AA38" s="354"/>
      <c r="AB38" s="438">
        <v>1</v>
      </c>
      <c r="AC38" s="439"/>
    </row>
    <row r="39" spans="1:29">
      <c r="A39" s="442" t="s">
        <v>496</v>
      </c>
      <c r="B39" s="326"/>
      <c r="C39" s="326"/>
      <c r="D39" s="326"/>
      <c r="E39" s="334"/>
      <c r="F39" s="326"/>
      <c r="G39" s="326"/>
      <c r="H39" s="326">
        <f>ROUND(AA64*$B$4,0)</f>
        <v>11602500</v>
      </c>
      <c r="I39" s="326">
        <f>ROUND(AA65*$B$4,0)</f>
        <v>13923000</v>
      </c>
      <c r="J39" s="432"/>
      <c r="K39" s="334"/>
      <c r="L39" s="334"/>
      <c r="M39" s="334"/>
      <c r="N39" s="334"/>
      <c r="O39" s="395"/>
      <c r="P39" s="349">
        <f t="shared" si="7"/>
        <v>25525500</v>
      </c>
      <c r="Q39" s="373"/>
      <c r="R39" s="373" t="s">
        <v>565</v>
      </c>
      <c r="S39" s="373"/>
      <c r="T39" s="373"/>
      <c r="U39" s="373"/>
      <c r="V39" s="49" t="s">
        <v>2</v>
      </c>
      <c r="W39" s="39">
        <v>91999901</v>
      </c>
      <c r="X39" s="80" t="s">
        <v>504</v>
      </c>
      <c r="Y39" s="80" t="s">
        <v>529</v>
      </c>
      <c r="Z39" s="60">
        <v>3501</v>
      </c>
      <c r="AA39" s="326">
        <v>1800000</v>
      </c>
      <c r="AB39" s="80"/>
      <c r="AC39" s="11"/>
    </row>
    <row r="40" spans="1:29">
      <c r="A40" s="436" t="s">
        <v>532</v>
      </c>
      <c r="B40" s="326">
        <f>IF(OR(B18="A",B18="B"),ROUND(ROUND(2369796*B19*B16*IF(B17&lt;3,0,IF(B17&lt;6,50%,100%)),0)*B13/365,0),ROUND(ROUND(2466.55*$B$4,0)*B16*B13%/365,0))</f>
        <v>201270</v>
      </c>
      <c r="C40" s="326">
        <f>IF(OR(C18="A",C18="B"),ROUND(ROUND(2369796*C19*C16*IF(C17&lt;3,0,IF(C17&lt;6,50%,100%)),0)*C13/365,0),ROUND(ROUND(2466.55*$B$4,0)*C16*C13%/365,0))</f>
        <v>362287</v>
      </c>
      <c r="D40" s="326"/>
      <c r="E40" s="326">
        <f>IF(OR(E18="A",E18="B"),ROUND(ROUND(2369796*E19*E16*IF(E17&lt;3,0,IF(E17&lt;6,50%,100%)),0)*E13/365,0),ROUND(ROUND(2466.55*$B$4,0)*E16*E13%/365,0))</f>
        <v>301906</v>
      </c>
      <c r="F40" s="326"/>
      <c r="G40" s="326"/>
      <c r="H40" s="354">
        <f>(ROUND(2466.55*$B$4/365*H16,0)+ROUND(863.29*$B$4/365*H16,0))*H13</f>
        <v>3281284</v>
      </c>
      <c r="I40" s="326">
        <f t="shared" ref="I40:O40" si="15">IF(OR(I18="A",I18="B"),ROUND(2369796/365*I16,0),ROUND(ROUND(2466.55*$B$4,0)/365/I16,0))*I19</f>
        <v>0</v>
      </c>
      <c r="J40" s="431">
        <f t="shared" si="15"/>
        <v>0</v>
      </c>
      <c r="K40" s="326">
        <f t="shared" si="15"/>
        <v>0</v>
      </c>
      <c r="L40" s="326">
        <f t="shared" si="15"/>
        <v>0</v>
      </c>
      <c r="M40" s="326">
        <f t="shared" si="15"/>
        <v>0</v>
      </c>
      <c r="N40" s="326">
        <f t="shared" si="15"/>
        <v>0</v>
      </c>
      <c r="O40" s="394">
        <f t="shared" si="15"/>
        <v>0</v>
      </c>
      <c r="P40" s="349">
        <f t="shared" si="7"/>
        <v>4146747</v>
      </c>
      <c r="Q40" s="374"/>
      <c r="R40" s="373" t="s">
        <v>564</v>
      </c>
      <c r="S40" s="374"/>
      <c r="T40" s="374"/>
      <c r="U40" s="374"/>
      <c r="V40" s="49" t="s">
        <v>2</v>
      </c>
      <c r="W40" s="39">
        <v>91999902</v>
      </c>
      <c r="X40" s="80" t="s">
        <v>504</v>
      </c>
      <c r="Y40" s="80" t="s">
        <v>529</v>
      </c>
      <c r="Z40" s="60">
        <v>3501</v>
      </c>
      <c r="AA40" s="326">
        <v>1800000</v>
      </c>
      <c r="AB40" s="80"/>
      <c r="AC40" s="11"/>
    </row>
    <row r="41" spans="1:29">
      <c r="A41" s="405"/>
      <c r="B41" s="325"/>
      <c r="C41" s="326"/>
      <c r="D41" s="326"/>
      <c r="E41" s="334"/>
      <c r="F41" s="362"/>
      <c r="G41" s="362"/>
      <c r="H41" s="362"/>
      <c r="I41" s="362"/>
      <c r="J41" s="432"/>
      <c r="K41" s="334"/>
      <c r="L41" s="334"/>
      <c r="M41" s="334"/>
      <c r="N41" s="334"/>
      <c r="O41" s="395"/>
      <c r="P41" s="349"/>
      <c r="Q41" s="373"/>
      <c r="R41" s="373"/>
      <c r="S41" s="373"/>
      <c r="T41" s="373"/>
      <c r="U41" s="373"/>
      <c r="V41" s="49" t="s">
        <v>2</v>
      </c>
      <c r="W41" s="39">
        <v>91999903</v>
      </c>
      <c r="X41" s="80" t="s">
        <v>508</v>
      </c>
      <c r="Y41" s="80" t="s">
        <v>529</v>
      </c>
      <c r="Z41" s="60">
        <v>3501</v>
      </c>
      <c r="AA41" s="326">
        <v>1800000</v>
      </c>
      <c r="AB41" s="80"/>
      <c r="AC41" s="11"/>
    </row>
    <row r="42" spans="1:29">
      <c r="A42" s="441" t="s">
        <v>61</v>
      </c>
      <c r="B42" s="659">
        <f t="shared" ref="B42:O42" si="16">SUM(B24:B36)</f>
        <v>16800000</v>
      </c>
      <c r="C42" s="659">
        <f t="shared" si="16"/>
        <v>15192000</v>
      </c>
      <c r="D42" s="659">
        <f t="shared" si="16"/>
        <v>18101738</v>
      </c>
      <c r="E42" s="659">
        <f t="shared" si="16"/>
        <v>13800000</v>
      </c>
      <c r="F42" s="659">
        <f t="shared" si="16"/>
        <v>15040000</v>
      </c>
      <c r="G42" s="659">
        <f t="shared" si="16"/>
        <v>23205000</v>
      </c>
      <c r="H42" s="659">
        <f t="shared" si="16"/>
        <v>78316875</v>
      </c>
      <c r="I42" s="659">
        <f t="shared" si="16"/>
        <v>29775546</v>
      </c>
      <c r="J42" s="666">
        <f t="shared" si="16"/>
        <v>5086957</v>
      </c>
      <c r="K42" s="659">
        <f t="shared" si="16"/>
        <v>11130000</v>
      </c>
      <c r="L42" s="659">
        <f t="shared" si="16"/>
        <v>90000000</v>
      </c>
      <c r="M42" s="659">
        <f t="shared" si="16"/>
        <v>7500000</v>
      </c>
      <c r="N42" s="659">
        <f t="shared" si="16"/>
        <v>9000000</v>
      </c>
      <c r="O42" s="659">
        <f t="shared" si="16"/>
        <v>4000000</v>
      </c>
      <c r="P42" s="338">
        <f t="shared" si="7"/>
        <v>331861159</v>
      </c>
      <c r="Q42" s="373"/>
      <c r="R42" s="373"/>
      <c r="S42" s="373"/>
      <c r="T42" s="373"/>
      <c r="U42" s="373"/>
      <c r="V42" s="49" t="s">
        <v>2</v>
      </c>
      <c r="W42" s="39">
        <v>91999904</v>
      </c>
      <c r="X42" s="80" t="s">
        <v>504</v>
      </c>
      <c r="Y42" s="80" t="s">
        <v>529</v>
      </c>
      <c r="Z42" s="60">
        <v>3501</v>
      </c>
      <c r="AA42" s="326">
        <v>1800000</v>
      </c>
      <c r="AB42" s="80"/>
      <c r="AC42" s="11"/>
    </row>
    <row r="43" spans="1:29">
      <c r="A43" s="411"/>
      <c r="B43" s="325"/>
      <c r="C43" s="326"/>
      <c r="D43" s="326"/>
      <c r="E43" s="334"/>
      <c r="F43" s="326"/>
      <c r="G43" s="326"/>
      <c r="H43" s="326"/>
      <c r="I43" s="326"/>
      <c r="J43" s="432"/>
      <c r="K43" s="334"/>
      <c r="L43" s="334"/>
      <c r="M43" s="334"/>
      <c r="N43" s="334"/>
      <c r="O43" s="395"/>
      <c r="P43" s="349"/>
      <c r="Q43" s="373"/>
      <c r="R43" s="373"/>
      <c r="S43" s="373"/>
      <c r="T43" s="373"/>
      <c r="U43" s="373"/>
      <c r="V43" s="49" t="s">
        <v>2</v>
      </c>
      <c r="W43" s="39">
        <v>91999905</v>
      </c>
      <c r="X43" s="80" t="s">
        <v>504</v>
      </c>
      <c r="Y43" s="80" t="s">
        <v>529</v>
      </c>
      <c r="Z43" s="60">
        <v>3501</v>
      </c>
      <c r="AA43" s="326">
        <v>1800000</v>
      </c>
      <c r="AB43" s="80"/>
      <c r="AC43" s="11"/>
    </row>
    <row r="44" spans="1:29" ht="15.6">
      <c r="A44" s="412" t="s">
        <v>60</v>
      </c>
      <c r="B44" s="356"/>
      <c r="C44" s="356"/>
      <c r="D44" s="356"/>
      <c r="E44" s="364"/>
      <c r="F44" s="356"/>
      <c r="G44" s="356"/>
      <c r="H44" s="356"/>
      <c r="I44" s="356"/>
      <c r="J44" s="433"/>
      <c r="K44" s="364"/>
      <c r="L44" s="364"/>
      <c r="M44" s="364"/>
      <c r="N44" s="364"/>
      <c r="O44" s="377"/>
      <c r="P44" s="349"/>
      <c r="Q44" s="373"/>
      <c r="R44" s="373"/>
      <c r="S44" s="373"/>
      <c r="T44" s="373"/>
      <c r="U44" s="373"/>
      <c r="V44" s="49" t="s">
        <v>2</v>
      </c>
      <c r="W44" s="39">
        <v>91999901</v>
      </c>
      <c r="X44" s="80" t="s">
        <v>504</v>
      </c>
      <c r="Y44" s="80" t="s">
        <v>529</v>
      </c>
      <c r="Z44" s="60">
        <v>3081</v>
      </c>
      <c r="AA44" s="326">
        <v>3000000</v>
      </c>
      <c r="AB44" s="80"/>
      <c r="AC44" s="11"/>
    </row>
    <row r="45" spans="1:29">
      <c r="A45" s="407" t="s">
        <v>55</v>
      </c>
      <c r="B45" s="356"/>
      <c r="C45" s="356"/>
      <c r="D45" s="356"/>
      <c r="E45" s="364"/>
      <c r="F45" s="356"/>
      <c r="G45" s="356"/>
      <c r="H45" s="356"/>
      <c r="I45" s="356"/>
      <c r="J45" s="433"/>
      <c r="K45" s="364"/>
      <c r="L45" s="364"/>
      <c r="M45" s="364"/>
      <c r="N45" s="364"/>
      <c r="O45" s="377"/>
      <c r="P45" s="349"/>
      <c r="Q45" s="373"/>
      <c r="R45" s="373"/>
      <c r="S45" s="373"/>
      <c r="T45" s="373"/>
      <c r="U45" s="373"/>
      <c r="V45" s="49" t="s">
        <v>2</v>
      </c>
      <c r="W45" s="39">
        <v>91999902</v>
      </c>
      <c r="X45" s="80" t="s">
        <v>504</v>
      </c>
      <c r="Y45" s="80" t="s">
        <v>529</v>
      </c>
      <c r="Z45" s="60">
        <v>3081</v>
      </c>
      <c r="AA45" s="326">
        <v>3000000</v>
      </c>
      <c r="AB45" s="80"/>
      <c r="AC45" s="11"/>
    </row>
    <row r="46" spans="1:29">
      <c r="A46" s="98" t="s">
        <v>573</v>
      </c>
      <c r="B46" s="326">
        <f>IF(B14&gt;B15/2,ROUND(B92*'New Hire'!C54,0),0)</f>
        <v>800000</v>
      </c>
      <c r="C46" s="326">
        <f>IF(C14&gt;C15/2,ROUND(C92*'New Hire'!D54,0),0)</f>
        <v>673200</v>
      </c>
      <c r="D46" s="326">
        <f>IF(D14&gt;D15/2,ROUND(D92*'New Hire'!E54,0),0)</f>
        <v>0</v>
      </c>
      <c r="E46" s="326">
        <f>IF(E14&gt;E15/2,ROUND(E92*'New Hire'!F54,0),0)</f>
        <v>720000</v>
      </c>
      <c r="F46" s="326">
        <f>IF(F14&gt;F15/2,ROUND(F92*'New Hire'!G54,0),0)</f>
        <v>0</v>
      </c>
      <c r="G46" s="326">
        <f>IF(G14&gt;G15/2,ROUND(G92*'New Hire'!H54,0),0)</f>
        <v>0</v>
      </c>
      <c r="H46" s="326">
        <f>IF(H14&gt;H15/2,ROUND(H92*'New Hire'!I54,0),0)</f>
        <v>0</v>
      </c>
      <c r="I46" s="326">
        <f>IF(I14&gt;I15/2,ROUND(I92*'New Hire'!J54,0),0)</f>
        <v>0</v>
      </c>
      <c r="J46" s="431">
        <f>IF(J14&gt;J15/2,ROUND(J92*'New Hire'!K54,0),0)</f>
        <v>0</v>
      </c>
      <c r="K46" s="326">
        <f>IF(K14&gt;K15/2,ROUND(K92*'New Hire'!L54,0),0)</f>
        <v>0</v>
      </c>
      <c r="L46" s="354">
        <f>IF(L14&gt;L15/2,ROUND(L92*'New Hire'!M54,0),0)</f>
        <v>2224000</v>
      </c>
      <c r="M46" s="326">
        <f>IF(M14&gt;M15/2,ROUND(M92*'New Hire'!N54,0),0)</f>
        <v>0</v>
      </c>
      <c r="N46" s="326">
        <f>IF(N14&gt;N15/2,ROUND(N92*'New Hire'!O54,0),0)</f>
        <v>0</v>
      </c>
      <c r="O46" s="394">
        <f>IF(O14&gt;O15/2,ROUND(O92*'New Hire'!P54,0),0)</f>
        <v>0</v>
      </c>
      <c r="P46" s="349">
        <f t="shared" si="7"/>
        <v>4417200</v>
      </c>
      <c r="Q46" s="373"/>
      <c r="R46" s="373"/>
      <c r="S46" s="373"/>
      <c r="T46" s="373"/>
      <c r="U46" s="373"/>
      <c r="V46" s="49" t="s">
        <v>2</v>
      </c>
      <c r="W46" s="39">
        <v>91999903</v>
      </c>
      <c r="X46" s="80" t="s">
        <v>508</v>
      </c>
      <c r="Y46" s="80" t="s">
        <v>529</v>
      </c>
      <c r="Z46" s="60">
        <v>3081</v>
      </c>
      <c r="AA46" s="326">
        <v>3000000</v>
      </c>
      <c r="AB46" s="80"/>
      <c r="AC46" s="11"/>
    </row>
    <row r="47" spans="1:29">
      <c r="A47" s="405" t="s">
        <v>574</v>
      </c>
      <c r="B47" s="326">
        <f>IF(B14&gt;B15/2,ROUND(MIN(B93,83600000)*'New Hire'!C57,0),0)</f>
        <v>100000</v>
      </c>
      <c r="C47" s="326">
        <f>IF(C14&gt;C15/2,ROUND(MIN(C93,83600000)*'New Hire'!D57,0),0)</f>
        <v>84150</v>
      </c>
      <c r="D47" s="326">
        <f>IF(D14&gt;D15/2,ROUND(MIN(D93,83600000)*'New Hire'!E57,0),0)</f>
        <v>126000</v>
      </c>
      <c r="E47" s="326">
        <f>IF(E14&gt;E15/2,ROUND(MIN(E93,83600000)*'New Hire'!F57,0),0)</f>
        <v>90000</v>
      </c>
      <c r="F47" s="326">
        <f>IF(F14&gt;F15/2,ROUND(MIN(F93,83600000)*'New Hire'!G57,0),0)</f>
        <v>0</v>
      </c>
      <c r="G47" s="326">
        <f>IF(G14&gt;G15/2,ROUND(MIN(G93,83600000)*'New Hire'!H57,0),0)</f>
        <v>0</v>
      </c>
      <c r="H47" s="326">
        <f>IF(H14&gt;H15/2,ROUND(MIN(H93,83600000)*'New Hire'!I57,0),0)</f>
        <v>0</v>
      </c>
      <c r="I47" s="326">
        <f>IF(I14&gt;I15/2,ROUND(MIN(I93,83600000)*'New Hire'!J57,0),0)</f>
        <v>0</v>
      </c>
      <c r="J47" s="431">
        <f>IF(J14&gt;J15/2,ROUND(MIN(J93,83600000)*'New Hire'!K57,0),0)</f>
        <v>0</v>
      </c>
      <c r="K47" s="326">
        <f>IF(K14&gt;K15/2,ROUND(MIN(K93,83600000)*'New Hire'!L57,0),0)</f>
        <v>0</v>
      </c>
      <c r="L47" s="354">
        <f>IF(L14&gt;L15/2,ROUND(MIN(L93,83600000)*'New Hire'!M57,0),0)</f>
        <v>836000</v>
      </c>
      <c r="M47" s="326">
        <f>IF(M14&gt;M15/2,ROUND(MIN(M93,83600000)*'New Hire'!N57,0),0)</f>
        <v>0</v>
      </c>
      <c r="N47" s="326">
        <f>IF(N14&gt;N15/2,ROUND(MIN(N93,83600000)*'New Hire'!O57,0),0)</f>
        <v>0</v>
      </c>
      <c r="O47" s="394">
        <f>IF(O14&gt;O15/2,ROUND(MIN(O93,83600000)*'New Hire'!P57,0),0)</f>
        <v>0</v>
      </c>
      <c r="P47" s="349">
        <f t="shared" si="7"/>
        <v>1236150</v>
      </c>
      <c r="Q47" s="373"/>
      <c r="R47" s="373"/>
      <c r="S47" s="373"/>
      <c r="T47" s="373"/>
      <c r="U47" s="373"/>
      <c r="V47" s="49" t="s">
        <v>2</v>
      </c>
      <c r="W47" s="39">
        <v>91999904</v>
      </c>
      <c r="X47" s="80" t="s">
        <v>504</v>
      </c>
      <c r="Y47" s="80" t="s">
        <v>529</v>
      </c>
      <c r="Z47" s="60">
        <v>3081</v>
      </c>
      <c r="AA47" s="326">
        <v>3000000</v>
      </c>
      <c r="AB47" s="80"/>
      <c r="AC47" s="11"/>
    </row>
    <row r="48" spans="1:29">
      <c r="A48" s="405" t="s">
        <v>575</v>
      </c>
      <c r="B48" s="326">
        <f>IF(B14&gt;B15/2,ROUND(B92*'New Hire'!C60,0),0)</f>
        <v>150000</v>
      </c>
      <c r="C48" s="326">
        <f>IF(C14&gt;C15/2,ROUND(C92*'New Hire'!D60,0),0)</f>
        <v>126225</v>
      </c>
      <c r="D48" s="326">
        <f>IF(D14&gt;D15/2,ROUND(D92*'New Hire'!E60,0),0)</f>
        <v>189000</v>
      </c>
      <c r="E48" s="326">
        <f>IF(E14&gt;E15/2,ROUND(E92*'New Hire'!F60,0),0)</f>
        <v>135000</v>
      </c>
      <c r="F48" s="326">
        <f>IF(F14&gt;F15/2,ROUND(F92*'New Hire'!G60,0),0)</f>
        <v>0</v>
      </c>
      <c r="G48" s="326">
        <f>IF(G14&gt;G15/2,ROUND(G92*'New Hire'!H60,0),0)</f>
        <v>0</v>
      </c>
      <c r="H48" s="326">
        <f>IF(H14&gt;H15/2,ROUND(H92*'New Hire'!I60,0),0)</f>
        <v>417000</v>
      </c>
      <c r="I48" s="326">
        <f>IF(I14&gt;I15/2,ROUND(I92*'New Hire'!J60,0),0)</f>
        <v>0</v>
      </c>
      <c r="J48" s="431">
        <f>IF(J14&gt;J15/2,ROUND(J92*'New Hire'!K60,0),0)</f>
        <v>0</v>
      </c>
      <c r="K48" s="326">
        <f>IF(K14&gt;K15/2,ROUND(K92*'New Hire'!L60,0),0)</f>
        <v>0</v>
      </c>
      <c r="L48" s="354">
        <f>IF(L14&gt;L15/2,ROUND(L92*'New Hire'!M60,0),0)</f>
        <v>417000</v>
      </c>
      <c r="M48" s="326">
        <f>IF(M14&gt;M15/2,ROUND(M92*'New Hire'!N60,0),0)</f>
        <v>0</v>
      </c>
      <c r="N48" s="326">
        <f>IF(N14&gt;N15/2,ROUND(N92*'New Hire'!O60,0),0)</f>
        <v>0</v>
      </c>
      <c r="O48" s="394">
        <f>IF(O14&gt;O15/2,ROUND(O92*'New Hire'!P60,0),0)</f>
        <v>0</v>
      </c>
      <c r="P48" s="349">
        <f t="shared" si="7"/>
        <v>1434225</v>
      </c>
      <c r="Q48" s="373"/>
      <c r="R48" s="373"/>
      <c r="S48" s="373"/>
      <c r="T48" s="373"/>
      <c r="U48" s="373"/>
      <c r="V48" s="49" t="s">
        <v>2</v>
      </c>
      <c r="W48" s="39">
        <v>91999905</v>
      </c>
      <c r="X48" s="80" t="s">
        <v>504</v>
      </c>
      <c r="Y48" s="80" t="s">
        <v>529</v>
      </c>
      <c r="Z48" s="60">
        <v>3081</v>
      </c>
      <c r="AA48" s="326">
        <v>3000000</v>
      </c>
      <c r="AB48" s="80"/>
      <c r="AC48" s="11"/>
    </row>
    <row r="49" spans="1:29">
      <c r="A49" s="405" t="s">
        <v>846</v>
      </c>
      <c r="B49" s="326">
        <f>B99</f>
        <v>77564</v>
      </c>
      <c r="C49" s="326">
        <f t="shared" ref="C49:O49" si="17">C99</f>
        <v>0</v>
      </c>
      <c r="D49" s="326">
        <f t="shared" si="17"/>
        <v>160337</v>
      </c>
      <c r="E49" s="326">
        <f t="shared" si="17"/>
        <v>1230191</v>
      </c>
      <c r="F49" s="326">
        <f t="shared" si="17"/>
        <v>1360000</v>
      </c>
      <c r="G49" s="326">
        <f t="shared" si="17"/>
        <v>1380750</v>
      </c>
      <c r="H49" s="326">
        <f t="shared" si="17"/>
        <v>18640132</v>
      </c>
      <c r="I49" s="326">
        <f t="shared" si="17"/>
        <v>8739709</v>
      </c>
      <c r="J49" s="431">
        <f t="shared" si="17"/>
        <v>0</v>
      </c>
      <c r="K49" s="326">
        <f t="shared" si="17"/>
        <v>70000</v>
      </c>
      <c r="L49" s="362">
        <f t="shared" si="17"/>
        <v>17406900</v>
      </c>
      <c r="M49" s="326">
        <f t="shared" si="17"/>
        <v>0</v>
      </c>
      <c r="N49" s="326">
        <f t="shared" si="17"/>
        <v>0</v>
      </c>
      <c r="O49" s="394">
        <f t="shared" si="17"/>
        <v>400000</v>
      </c>
      <c r="P49" s="349">
        <f t="shared" si="7"/>
        <v>49465583</v>
      </c>
      <c r="Q49" s="373"/>
      <c r="R49" s="373"/>
      <c r="S49" s="373"/>
      <c r="T49" s="373"/>
      <c r="U49" s="373"/>
      <c r="V49" s="49" t="s">
        <v>2</v>
      </c>
      <c r="W49" s="39">
        <v>91999901</v>
      </c>
      <c r="X49" s="80" t="s">
        <v>504</v>
      </c>
      <c r="Y49" s="80" t="s">
        <v>529</v>
      </c>
      <c r="Z49" s="60" t="s">
        <v>530</v>
      </c>
      <c r="AA49" s="326">
        <v>2000000</v>
      </c>
      <c r="AB49" s="80"/>
      <c r="AC49" s="11"/>
    </row>
    <row r="50" spans="1:29">
      <c r="A50" s="436" t="s">
        <v>512</v>
      </c>
      <c r="B50" s="326">
        <f t="shared" ref="B50:O50" si="18">B87-B64</f>
        <v>0</v>
      </c>
      <c r="C50" s="326">
        <f t="shared" si="18"/>
        <v>0</v>
      </c>
      <c r="D50" s="326">
        <f t="shared" si="18"/>
        <v>0</v>
      </c>
      <c r="E50" s="326">
        <f t="shared" si="18"/>
        <v>0</v>
      </c>
      <c r="F50" s="326">
        <f t="shared" si="18"/>
        <v>0</v>
      </c>
      <c r="G50" s="326">
        <f t="shared" si="18"/>
        <v>0</v>
      </c>
      <c r="H50" s="326">
        <f t="shared" si="18"/>
        <v>339726</v>
      </c>
      <c r="I50" s="326">
        <f t="shared" si="18"/>
        <v>0</v>
      </c>
      <c r="J50" s="431">
        <f t="shared" si="18"/>
        <v>0</v>
      </c>
      <c r="K50" s="326">
        <f t="shared" si="18"/>
        <v>0</v>
      </c>
      <c r="L50" s="326">
        <f t="shared" si="18"/>
        <v>0</v>
      </c>
      <c r="M50" s="326">
        <f t="shared" si="18"/>
        <v>0</v>
      </c>
      <c r="N50" s="326">
        <f t="shared" si="18"/>
        <v>0</v>
      </c>
      <c r="O50" s="394">
        <f t="shared" si="18"/>
        <v>0</v>
      </c>
      <c r="P50" s="349">
        <f>SUM(B50:O50)-J50</f>
        <v>339726</v>
      </c>
      <c r="Q50" s="373"/>
      <c r="R50" s="373"/>
      <c r="S50" s="373"/>
      <c r="T50" s="373"/>
      <c r="U50" s="374"/>
      <c r="V50" s="49" t="s">
        <v>2</v>
      </c>
      <c r="W50" s="39">
        <v>91999902</v>
      </c>
      <c r="X50" s="80" t="s">
        <v>504</v>
      </c>
      <c r="Y50" s="80" t="s">
        <v>529</v>
      </c>
      <c r="Z50" s="60" t="s">
        <v>530</v>
      </c>
      <c r="AA50" s="326">
        <v>2000000</v>
      </c>
      <c r="AB50" s="80"/>
      <c r="AC50" s="11"/>
    </row>
    <row r="51" spans="1:29">
      <c r="A51" s="436" t="s">
        <v>533</v>
      </c>
      <c r="B51" s="326">
        <f>IF(OR(B18="A",B18="B"),ROUND(2369796*B19*B16/365,0),ROUND(2466.55*$B$4*B19*B16/12,0))-B40</f>
        <v>0</v>
      </c>
      <c r="C51" s="326">
        <f>IF(OR(C18="A",C18="B"),ROUND(2369796*C19*C16/365,0),ROUND(2466.55*$B$4*C19*C16/12,0))-C40</f>
        <v>40254</v>
      </c>
      <c r="D51" s="326">
        <v>0</v>
      </c>
      <c r="E51" s="326">
        <f>IF(OR(E18="A",E18="B"),ROUND(2369796*E19*E16/365,0),ROUND(2466.55*$B$4*E19*E16/12,0))-E40</f>
        <v>301905</v>
      </c>
      <c r="F51" s="326">
        <f>IF(OR(F18="A",F18="B"),ROUND(2369796*F19*F16/365,0),ROUND(2466.55*$B$4*F19*F16/12,0))-F40</f>
        <v>0</v>
      </c>
      <c r="G51" s="326">
        <f>IF(OR(G18="A",G18="B"),ROUND(2369796*G19*G16/365,0),ROUND(2466.55*$B$4*G19*G16/12,0))-G40</f>
        <v>0</v>
      </c>
      <c r="H51" s="326">
        <f>ROUND((ROUND(2466.55*$B$4,0)+ROUND(863.29*$B$4,0))/365*H16,0)-H40</f>
        <v>3281283</v>
      </c>
      <c r="I51" s="326">
        <f t="shared" ref="I51:O51" si="19">IF(OR(I18="A",I18="B"),ROUND(2369796*I19*I16/365,0),ROUND(2466.55*$B$4*I19*I16/12,0))-I40</f>
        <v>0</v>
      </c>
      <c r="J51" s="431">
        <f t="shared" si="19"/>
        <v>0</v>
      </c>
      <c r="K51" s="326">
        <f t="shared" si="19"/>
        <v>0</v>
      </c>
      <c r="L51" s="326">
        <f t="shared" si="19"/>
        <v>0</v>
      </c>
      <c r="M51" s="326">
        <f t="shared" si="19"/>
        <v>0</v>
      </c>
      <c r="N51" s="326">
        <f t="shared" si="19"/>
        <v>0</v>
      </c>
      <c r="O51" s="394">
        <f t="shared" si="19"/>
        <v>0</v>
      </c>
      <c r="P51" s="349">
        <f>SUM(B51:O51)-J51</f>
        <v>3623442</v>
      </c>
      <c r="Q51" s="373"/>
      <c r="R51" s="373"/>
      <c r="S51" s="373"/>
      <c r="T51" s="373"/>
      <c r="U51" s="374"/>
      <c r="V51" s="49" t="s">
        <v>2</v>
      </c>
      <c r="W51" s="39">
        <v>91999903</v>
      </c>
      <c r="X51" s="80" t="s">
        <v>508</v>
      </c>
      <c r="Y51" s="80" t="s">
        <v>529</v>
      </c>
      <c r="Z51" s="60" t="s">
        <v>530</v>
      </c>
      <c r="AA51" s="326">
        <v>2000000</v>
      </c>
      <c r="AB51" s="80"/>
      <c r="AC51" s="11"/>
    </row>
    <row r="52" spans="1:29">
      <c r="A52" s="436" t="s">
        <v>536</v>
      </c>
      <c r="B52" s="326">
        <f>B88</f>
        <v>0</v>
      </c>
      <c r="C52" s="326">
        <f t="shared" ref="C52:O52" si="20">C88</f>
        <v>0</v>
      </c>
      <c r="D52" s="326">
        <f t="shared" si="20"/>
        <v>0</v>
      </c>
      <c r="E52" s="326">
        <f t="shared" si="20"/>
        <v>0</v>
      </c>
      <c r="F52" s="326">
        <f t="shared" si="20"/>
        <v>0</v>
      </c>
      <c r="G52" s="326">
        <f t="shared" si="20"/>
        <v>0</v>
      </c>
      <c r="H52" s="326">
        <f t="shared" si="20"/>
        <v>594521</v>
      </c>
      <c r="I52" s="326">
        <f t="shared" si="20"/>
        <v>0</v>
      </c>
      <c r="J52" s="431">
        <f t="shared" si="20"/>
        <v>0</v>
      </c>
      <c r="K52" s="326">
        <f t="shared" si="20"/>
        <v>0</v>
      </c>
      <c r="L52" s="326">
        <f t="shared" si="20"/>
        <v>0</v>
      </c>
      <c r="M52" s="326">
        <f t="shared" si="20"/>
        <v>0</v>
      </c>
      <c r="N52" s="326">
        <f t="shared" si="20"/>
        <v>0</v>
      </c>
      <c r="O52" s="394">
        <f t="shared" si="20"/>
        <v>0</v>
      </c>
      <c r="P52" s="349">
        <f>SUM(B52:O52)-J52</f>
        <v>594521</v>
      </c>
      <c r="Q52" s="373"/>
      <c r="R52" s="373"/>
      <c r="S52" s="335"/>
      <c r="T52" s="335"/>
      <c r="U52" s="335"/>
      <c r="V52" s="49" t="s">
        <v>2</v>
      </c>
      <c r="W52" s="39">
        <v>91999907</v>
      </c>
      <c r="X52" s="80" t="s">
        <v>505</v>
      </c>
      <c r="Y52" s="80" t="s">
        <v>529</v>
      </c>
      <c r="Z52" s="60" t="s">
        <v>530</v>
      </c>
      <c r="AA52" s="326">
        <v>350</v>
      </c>
      <c r="AB52" s="80" t="s">
        <v>598</v>
      </c>
      <c r="AC52" s="11"/>
    </row>
    <row r="53" spans="1:29">
      <c r="A53" s="436" t="s">
        <v>537</v>
      </c>
      <c r="B53" s="326">
        <f t="shared" ref="B53:G53" si="21">IF(OR(B18="A",B18="B"),0,ROUND(ROUND(297.1*$B$4,0)/365*B16,0))*B19</f>
        <v>0</v>
      </c>
      <c r="C53" s="326">
        <f t="shared" si="21"/>
        <v>0</v>
      </c>
      <c r="D53" s="326">
        <f t="shared" si="21"/>
        <v>0</v>
      </c>
      <c r="E53" s="326">
        <f t="shared" si="21"/>
        <v>0</v>
      </c>
      <c r="F53" s="326">
        <f t="shared" si="21"/>
        <v>0</v>
      </c>
      <c r="G53" s="326">
        <f t="shared" si="21"/>
        <v>0</v>
      </c>
      <c r="H53" s="354">
        <f>ROUND((ROUND(297.1*$B$4,0)+ROUND(103.98*$B$4,0))/365*H16,0)</f>
        <v>790463</v>
      </c>
      <c r="I53" s="326">
        <f t="shared" ref="I53:O53" si="22">IF(OR(I18="A",I18="B"),0,ROUND(ROUND(297.1*$B$4,0)/365*I16*I19,0))*I19</f>
        <v>0</v>
      </c>
      <c r="J53" s="431">
        <f t="shared" si="22"/>
        <v>0</v>
      </c>
      <c r="K53" s="326">
        <f t="shared" si="22"/>
        <v>0</v>
      </c>
      <c r="L53" s="326">
        <f t="shared" si="22"/>
        <v>0</v>
      </c>
      <c r="M53" s="326">
        <f t="shared" si="22"/>
        <v>0</v>
      </c>
      <c r="N53" s="326">
        <f t="shared" si="22"/>
        <v>0</v>
      </c>
      <c r="O53" s="394">
        <f t="shared" si="22"/>
        <v>0</v>
      </c>
      <c r="P53" s="349">
        <f>SUM(B53:O53)-J53</f>
        <v>790463</v>
      </c>
      <c r="Q53" s="341"/>
      <c r="R53" s="341"/>
      <c r="S53" s="341"/>
      <c r="T53" s="341"/>
      <c r="U53" s="341"/>
      <c r="V53" s="49" t="s">
        <v>2</v>
      </c>
      <c r="W53" s="39">
        <v>91999908</v>
      </c>
      <c r="X53" s="80" t="s">
        <v>596</v>
      </c>
      <c r="Y53" s="80" t="s">
        <v>529</v>
      </c>
      <c r="Z53" s="60" t="s">
        <v>530</v>
      </c>
      <c r="AA53" s="326">
        <v>335</v>
      </c>
      <c r="AB53" s="80" t="s">
        <v>599</v>
      </c>
      <c r="AC53" s="11"/>
    </row>
    <row r="54" spans="1:29">
      <c r="A54" s="405"/>
      <c r="B54" s="325"/>
      <c r="C54" s="326"/>
      <c r="D54" s="326"/>
      <c r="E54" s="334"/>
      <c r="F54" s="326"/>
      <c r="G54" s="326"/>
      <c r="H54" s="326"/>
      <c r="I54" s="326"/>
      <c r="J54" s="432"/>
      <c r="K54" s="334"/>
      <c r="L54" s="334"/>
      <c r="M54" s="334"/>
      <c r="N54" s="334"/>
      <c r="O54" s="395"/>
      <c r="P54" s="349"/>
      <c r="Q54" s="373"/>
      <c r="R54" s="373"/>
      <c r="S54" s="373"/>
      <c r="T54" s="373"/>
      <c r="U54" s="373"/>
      <c r="V54" s="49" t="s">
        <v>2</v>
      </c>
      <c r="W54" s="39">
        <v>91999902</v>
      </c>
      <c r="X54" s="80" t="s">
        <v>504</v>
      </c>
      <c r="Y54" s="80" t="s">
        <v>529</v>
      </c>
      <c r="Z54" s="60">
        <v>3525</v>
      </c>
      <c r="AA54" s="326">
        <v>730000</v>
      </c>
      <c r="AB54" s="80"/>
      <c r="AC54" s="11"/>
    </row>
    <row r="55" spans="1:29">
      <c r="A55" s="665" t="s">
        <v>4</v>
      </c>
      <c r="B55" s="659">
        <f t="shared" ref="B55:O55" si="23">SUM(B46:B54)</f>
        <v>1127564</v>
      </c>
      <c r="C55" s="659">
        <f t="shared" si="23"/>
        <v>923829</v>
      </c>
      <c r="D55" s="659">
        <f t="shared" si="23"/>
        <v>475337</v>
      </c>
      <c r="E55" s="659">
        <f t="shared" si="23"/>
        <v>2477096</v>
      </c>
      <c r="F55" s="659">
        <f t="shared" si="23"/>
        <v>1360000</v>
      </c>
      <c r="G55" s="659">
        <f t="shared" si="23"/>
        <v>1380750</v>
      </c>
      <c r="H55" s="659">
        <f t="shared" si="23"/>
        <v>24063125</v>
      </c>
      <c r="I55" s="659">
        <f t="shared" si="23"/>
        <v>8739709</v>
      </c>
      <c r="J55" s="666">
        <f t="shared" si="23"/>
        <v>0</v>
      </c>
      <c r="K55" s="659">
        <f t="shared" si="23"/>
        <v>70000</v>
      </c>
      <c r="L55" s="659">
        <f t="shared" si="23"/>
        <v>20883900</v>
      </c>
      <c r="M55" s="659">
        <f t="shared" si="23"/>
        <v>0</v>
      </c>
      <c r="N55" s="659">
        <f t="shared" si="23"/>
        <v>0</v>
      </c>
      <c r="O55" s="659">
        <f t="shared" si="23"/>
        <v>400000</v>
      </c>
      <c r="P55" s="338">
        <f t="shared" si="7"/>
        <v>61901310</v>
      </c>
      <c r="Q55" s="373"/>
      <c r="R55" s="373"/>
      <c r="S55" s="373"/>
      <c r="T55" s="373"/>
      <c r="U55" s="373"/>
      <c r="V55" s="49" t="s">
        <v>2</v>
      </c>
      <c r="W55" s="39">
        <v>91999903</v>
      </c>
      <c r="X55" s="80" t="s">
        <v>508</v>
      </c>
      <c r="Y55" s="80" t="s">
        <v>529</v>
      </c>
      <c r="Z55" s="60">
        <v>3525</v>
      </c>
      <c r="AA55" s="326">
        <v>730000</v>
      </c>
      <c r="AB55" s="80"/>
      <c r="AC55" s="11"/>
    </row>
    <row r="56" spans="1:29">
      <c r="A56" s="414"/>
      <c r="B56" s="325"/>
      <c r="C56" s="326"/>
      <c r="D56" s="326"/>
      <c r="E56" s="334"/>
      <c r="F56" s="326"/>
      <c r="G56" s="326"/>
      <c r="H56" s="326"/>
      <c r="I56" s="326"/>
      <c r="J56" s="432"/>
      <c r="K56" s="334"/>
      <c r="L56" s="334"/>
      <c r="M56" s="334"/>
      <c r="N56" s="334"/>
      <c r="O56" s="395"/>
      <c r="P56" s="349"/>
      <c r="Q56" s="373"/>
      <c r="R56" s="373"/>
      <c r="S56" s="373"/>
      <c r="T56" s="373"/>
      <c r="U56" s="373"/>
      <c r="V56" s="49" t="s">
        <v>2</v>
      </c>
      <c r="W56" s="39">
        <v>91999910</v>
      </c>
      <c r="X56" s="80" t="s">
        <v>538</v>
      </c>
      <c r="Y56" s="80" t="s">
        <v>529</v>
      </c>
      <c r="Z56" s="60">
        <v>3525</v>
      </c>
      <c r="AA56" s="326">
        <v>730000</v>
      </c>
      <c r="AB56" s="80"/>
      <c r="AC56" s="11"/>
    </row>
    <row r="57" spans="1:29" ht="14.4" thickBot="1">
      <c r="A57" s="441" t="s">
        <v>5</v>
      </c>
      <c r="B57" s="328">
        <f t="shared" ref="B57:O57" si="24">B42-B55</f>
        <v>15672436</v>
      </c>
      <c r="C57" s="328">
        <f t="shared" si="24"/>
        <v>14268171</v>
      </c>
      <c r="D57" s="328">
        <f t="shared" si="24"/>
        <v>17626401</v>
      </c>
      <c r="E57" s="328">
        <f t="shared" si="24"/>
        <v>11322904</v>
      </c>
      <c r="F57" s="328">
        <f t="shared" si="24"/>
        <v>13680000</v>
      </c>
      <c r="G57" s="328">
        <f t="shared" si="24"/>
        <v>21824250</v>
      </c>
      <c r="H57" s="328">
        <f t="shared" si="24"/>
        <v>54253750</v>
      </c>
      <c r="I57" s="328">
        <f t="shared" si="24"/>
        <v>21035837</v>
      </c>
      <c r="J57" s="434">
        <v>0</v>
      </c>
      <c r="K57" s="328">
        <f t="shared" si="24"/>
        <v>11060000</v>
      </c>
      <c r="L57" s="328">
        <f t="shared" si="24"/>
        <v>69116100</v>
      </c>
      <c r="M57" s="328">
        <f t="shared" si="24"/>
        <v>7500000</v>
      </c>
      <c r="N57" s="328">
        <f t="shared" si="24"/>
        <v>9000000</v>
      </c>
      <c r="O57" s="398">
        <f t="shared" si="24"/>
        <v>3600000</v>
      </c>
      <c r="P57" s="338">
        <f t="shared" si="7"/>
        <v>269959849</v>
      </c>
      <c r="Q57" s="373"/>
      <c r="R57" s="373"/>
      <c r="S57" s="373"/>
      <c r="T57" s="373"/>
      <c r="U57" s="373"/>
      <c r="V57" s="49" t="s">
        <v>2</v>
      </c>
      <c r="W57" s="39">
        <v>91999901</v>
      </c>
      <c r="X57" s="80" t="s">
        <v>504</v>
      </c>
      <c r="Y57" s="80" t="s">
        <v>529</v>
      </c>
      <c r="Z57" s="60">
        <v>3100</v>
      </c>
      <c r="AA57" s="326">
        <v>1500000</v>
      </c>
      <c r="AB57" s="80"/>
      <c r="AC57" s="11"/>
    </row>
    <row r="58" spans="1:29" ht="14.4" thickTop="1">
      <c r="A58" s="415"/>
      <c r="B58" s="325"/>
      <c r="C58" s="326"/>
      <c r="D58" s="326"/>
      <c r="E58" s="334"/>
      <c r="F58" s="326"/>
      <c r="G58" s="326"/>
      <c r="H58" s="326"/>
      <c r="I58" s="326"/>
      <c r="J58" s="432"/>
      <c r="K58" s="334"/>
      <c r="L58" s="334"/>
      <c r="M58" s="334"/>
      <c r="N58" s="334"/>
      <c r="O58" s="395"/>
      <c r="P58" s="349"/>
      <c r="Q58" s="373"/>
      <c r="R58" s="373"/>
      <c r="S58" s="373"/>
      <c r="T58" s="373"/>
      <c r="U58" s="373"/>
      <c r="V58" s="49" t="s">
        <v>2</v>
      </c>
      <c r="W58" s="39">
        <v>91999902</v>
      </c>
      <c r="X58" s="80" t="s">
        <v>504</v>
      </c>
      <c r="Y58" s="80" t="s">
        <v>529</v>
      </c>
      <c r="Z58" s="60">
        <v>3100</v>
      </c>
      <c r="AA58" s="326">
        <v>1500000</v>
      </c>
      <c r="AB58" s="80"/>
      <c r="AC58" s="11"/>
    </row>
    <row r="59" spans="1:29" ht="15.6">
      <c r="A59" s="404" t="s">
        <v>62</v>
      </c>
      <c r="B59" s="368"/>
      <c r="C59" s="399"/>
      <c r="D59" s="399"/>
      <c r="E59" s="364"/>
      <c r="F59" s="399"/>
      <c r="G59" s="399"/>
      <c r="H59" s="400"/>
      <c r="I59" s="399"/>
      <c r="J59" s="433"/>
      <c r="K59" s="364"/>
      <c r="L59" s="364"/>
      <c r="M59" s="364"/>
      <c r="N59" s="364"/>
      <c r="O59" s="377"/>
      <c r="P59" s="377"/>
      <c r="Q59" s="373"/>
      <c r="R59" s="373"/>
      <c r="S59" s="373"/>
      <c r="T59" s="373"/>
      <c r="U59" s="373"/>
      <c r="V59" s="49" t="s">
        <v>2</v>
      </c>
      <c r="W59" s="39">
        <v>91999903</v>
      </c>
      <c r="X59" s="80" t="s">
        <v>1236</v>
      </c>
      <c r="Y59" s="80" t="s">
        <v>529</v>
      </c>
      <c r="Z59" s="60">
        <v>3100</v>
      </c>
      <c r="AA59" s="326">
        <v>1500000</v>
      </c>
      <c r="AB59" s="80"/>
      <c r="AC59" s="11"/>
    </row>
    <row r="60" spans="1:29">
      <c r="A60" s="417" t="s">
        <v>570</v>
      </c>
      <c r="B60" s="326">
        <f>IF(B14&gt;B15/2,ROUND(B92*'New Hire'!C55,0),0)</f>
        <v>1700000</v>
      </c>
      <c r="C60" s="326">
        <f>IF(C14&gt;C15/2,ROUND(C92*'New Hire'!D55,0),0)</f>
        <v>1472625</v>
      </c>
      <c r="D60" s="326">
        <f>IF(D14&gt;D15/2,ROUND(D92*'New Hire'!E55,0),0)</f>
        <v>63000</v>
      </c>
      <c r="E60" s="326">
        <f>IF(E14&gt;E15/2,ROUND(E92*'New Hire'!F55,0),0)</f>
        <v>1530000</v>
      </c>
      <c r="F60" s="326">
        <f>IF(F14&gt;F15/2,ROUND(F92*'New Hire'!G55,0),0)</f>
        <v>0</v>
      </c>
      <c r="G60" s="326">
        <f>IF(G14&gt;G15/2,ROUND(G92*'New Hire'!H55,0),0)</f>
        <v>0</v>
      </c>
      <c r="H60" s="326">
        <f>IF(H14&gt;H15/2,ROUND(H92*'New Hire'!I55,0),0)</f>
        <v>834000</v>
      </c>
      <c r="I60" s="326">
        <f>IF(I14&gt;I15/2,ROUND(I92*'New Hire'!J55,0),0)</f>
        <v>0</v>
      </c>
      <c r="J60" s="431">
        <f>IF(J14&gt;J15/2,ROUND(J92*'New Hire'!K55,0),0)</f>
        <v>0</v>
      </c>
      <c r="K60" s="326">
        <f>IF(K14&gt;K15/2,ROUND(K92*'New Hire'!L55,0),0)</f>
        <v>0</v>
      </c>
      <c r="L60" s="326">
        <f>IF(L14&gt;L15/2,ROUND(L92*'New Hire'!M55,0),0)</f>
        <v>4726000</v>
      </c>
      <c r="M60" s="326">
        <f>IF(M14&gt;M15/2,ROUND(M92*'New Hire'!N55,0),0)</f>
        <v>0</v>
      </c>
      <c r="N60" s="326">
        <f>IF(N14&gt;N15/2,ROUND(N92*'New Hire'!O55,0),0)</f>
        <v>0</v>
      </c>
      <c r="O60" s="394">
        <f>IF(O14&gt;O15/2,ROUND(O92*'New Hire'!P55,0),0)</f>
        <v>0</v>
      </c>
      <c r="P60" s="340">
        <f>SUM(B60:O60)-J60</f>
        <v>10325625</v>
      </c>
      <c r="Q60" s="373"/>
      <c r="R60" s="373"/>
      <c r="S60" s="373"/>
      <c r="T60" s="373"/>
      <c r="U60" s="373"/>
      <c r="V60" s="49" t="s">
        <v>2</v>
      </c>
      <c r="W60" s="39">
        <v>91999907</v>
      </c>
      <c r="X60" s="80" t="s">
        <v>1193</v>
      </c>
      <c r="Y60" s="80" t="s">
        <v>529</v>
      </c>
      <c r="Z60" s="60">
        <v>3100</v>
      </c>
      <c r="AA60" s="326">
        <v>100</v>
      </c>
      <c r="AB60" s="7" t="s">
        <v>597</v>
      </c>
      <c r="AC60" s="12"/>
    </row>
    <row r="61" spans="1:29">
      <c r="A61" s="436" t="s">
        <v>571</v>
      </c>
      <c r="B61" s="326">
        <f>IF(B14&gt;B15/2,ROUND(MIN(B93,83600000)*'New Hire'!C58,0),0)</f>
        <v>100000</v>
      </c>
      <c r="C61" s="326">
        <f>IF(C14&gt;C15/2,ROUND(MIN(C93,83600000)*'New Hire'!D58,0),0)</f>
        <v>84150</v>
      </c>
      <c r="D61" s="326">
        <f>IF(D14&gt;D15/2,ROUND(MIN(D93,83600000)*'New Hire'!E58,0),0)</f>
        <v>126000</v>
      </c>
      <c r="E61" s="326">
        <f>IF(E14&gt;E15/2,ROUND(MIN(E93,83600000)*'New Hire'!F58,0),0)</f>
        <v>90000</v>
      </c>
      <c r="F61" s="326">
        <f>IF(F14&gt;F15/2,ROUND(MIN(F93,83600000)*'New Hire'!G58,0),0)</f>
        <v>0</v>
      </c>
      <c r="G61" s="326">
        <f>IF(G14&gt;G15/2,ROUND(MIN(G93,83600000)*'New Hire'!H58,0),0)</f>
        <v>0</v>
      </c>
      <c r="H61" s="326">
        <f>IF(H14&gt;H15/2,ROUND(MIN(H93,83600000)*'New Hire'!I58,0),0)</f>
        <v>0</v>
      </c>
      <c r="I61" s="326">
        <f>IF(I14&gt;I15/2,ROUND(MIN(I93,83600000)*'New Hire'!J58,0),0)</f>
        <v>0</v>
      </c>
      <c r="J61" s="431">
        <f>IF(J14&gt;J15/2,ROUND(MIN(J93,83600000)*'New Hire'!K58,0),0)</f>
        <v>0</v>
      </c>
      <c r="K61" s="326">
        <f>IF(K14&gt;K15/2,ROUND(MIN(K93,83600000)*'New Hire'!L58,0),0)</f>
        <v>0</v>
      </c>
      <c r="L61" s="326">
        <f>IF(L14&gt;L15/2,ROUND(MIN(L93,83600000)*'New Hire'!M58,0),0)</f>
        <v>836000</v>
      </c>
      <c r="M61" s="326">
        <f>IF(M14&gt;M15/2,ROUND(MIN(M93,83600000)*'New Hire'!N58,0),0)</f>
        <v>0</v>
      </c>
      <c r="N61" s="326">
        <f>IF(N14&gt;N15/2,ROUND(MIN(N93,83600000)*'New Hire'!O58,0),0)</f>
        <v>0</v>
      </c>
      <c r="O61" s="326">
        <f>IF(O14&gt;O15/2,ROUND(MIN(O93,83600000)*'New Hire'!P58,0),0)</f>
        <v>0</v>
      </c>
      <c r="P61" s="339">
        <f t="shared" ref="P61:P137" si="25">SUM(B61:O61)-J61</f>
        <v>1236150</v>
      </c>
      <c r="Q61" s="373"/>
      <c r="R61" s="373"/>
      <c r="S61" s="373"/>
      <c r="T61" s="373"/>
      <c r="U61" s="373"/>
      <c r="V61" s="49" t="s">
        <v>2</v>
      </c>
      <c r="W61" s="39">
        <v>91999901</v>
      </c>
      <c r="X61" s="80" t="s">
        <v>504</v>
      </c>
      <c r="Y61" s="80" t="s">
        <v>529</v>
      </c>
      <c r="Z61" s="60">
        <v>3210</v>
      </c>
      <c r="AA61" s="326">
        <v>2000000</v>
      </c>
      <c r="AB61" s="7"/>
      <c r="AC61" s="12"/>
    </row>
    <row r="62" spans="1:29">
      <c r="A62" s="436" t="s">
        <v>572</v>
      </c>
      <c r="B62" s="326">
        <f>IF(B14&gt;B15/2,ROUND(B92*'New Hire'!C61,0),0)</f>
        <v>300000</v>
      </c>
      <c r="C62" s="326">
        <f>IF(C14&gt;C15/2,ROUND(C92*'New Hire'!D61,0),0)</f>
        <v>252450</v>
      </c>
      <c r="D62" s="326">
        <f>IF(D14&gt;D15/2,ROUND(D92*'New Hire'!E61,0),0)</f>
        <v>378000</v>
      </c>
      <c r="E62" s="326">
        <f>IF(E14&gt;E15/2,ROUND(E92*'New Hire'!F61,0),0)</f>
        <v>270000</v>
      </c>
      <c r="F62" s="326">
        <f>IF(F14&gt;F15/2,ROUND(F92*'New Hire'!G61,0),0)</f>
        <v>0</v>
      </c>
      <c r="G62" s="326">
        <f>IF(G14&gt;G15/2,ROUND(G92*'New Hire'!H61,0),0)</f>
        <v>0</v>
      </c>
      <c r="H62" s="326">
        <f>IF(H14&gt;H15/2,ROUND(H92*'New Hire'!I61,0),0)</f>
        <v>834000</v>
      </c>
      <c r="I62" s="326">
        <f>IF(I14&gt;I15/2,ROUND(I92*'New Hire'!J61,0),0)</f>
        <v>0</v>
      </c>
      <c r="J62" s="431">
        <f>IF(J14&gt;J15/2,ROUND(J92*'New Hire'!K61,0),0)</f>
        <v>0</v>
      </c>
      <c r="K62" s="326">
        <f>IF(K14&gt;K15/2,ROUND(K92*'New Hire'!L61,0),0)</f>
        <v>0</v>
      </c>
      <c r="L62" s="326">
        <f>IF(L14&gt;L15/2,ROUND(L92*'New Hire'!M61,0),0)</f>
        <v>834000</v>
      </c>
      <c r="M62" s="326">
        <f>IF(M14&gt;M15/2,ROUND(M92*'New Hire'!N61,0),0)</f>
        <v>0</v>
      </c>
      <c r="N62" s="326">
        <f>IF(N14&gt;N15/2,ROUND(N92*'New Hire'!O61,0),0)</f>
        <v>0</v>
      </c>
      <c r="O62" s="326">
        <f>IF(O14&gt;O15/2,ROUND(O92*'New Hire'!P61,0),0)</f>
        <v>0</v>
      </c>
      <c r="P62" s="339">
        <f t="shared" si="25"/>
        <v>2868450</v>
      </c>
      <c r="Q62" s="373"/>
      <c r="R62" s="373"/>
      <c r="S62" s="373"/>
      <c r="T62" s="373"/>
      <c r="U62" s="373"/>
      <c r="V62" s="49" t="s">
        <v>2</v>
      </c>
      <c r="W62" s="39">
        <v>91999902</v>
      </c>
      <c r="X62" s="80" t="s">
        <v>504</v>
      </c>
      <c r="Y62" s="80" t="s">
        <v>529</v>
      </c>
      <c r="Z62" s="60">
        <v>3210</v>
      </c>
      <c r="AA62" s="326">
        <v>2000000</v>
      </c>
      <c r="AB62" s="7"/>
      <c r="AC62" s="12"/>
    </row>
    <row r="63" spans="1:29">
      <c r="A63" s="405" t="s">
        <v>1071</v>
      </c>
      <c r="B63" s="326">
        <f>ROUND(MIN(B92,29800000)*2%,0)</f>
        <v>200000</v>
      </c>
      <c r="C63" s="326">
        <f t="shared" ref="C63:O63" si="26">ROUND(MIN(C92,29800000)*2%,0)</f>
        <v>168300</v>
      </c>
      <c r="D63" s="326">
        <f t="shared" si="26"/>
        <v>252000</v>
      </c>
      <c r="E63" s="326">
        <f t="shared" si="26"/>
        <v>180000</v>
      </c>
      <c r="F63" s="326">
        <f t="shared" si="26"/>
        <v>224000</v>
      </c>
      <c r="G63" s="326">
        <f t="shared" si="26"/>
        <v>0</v>
      </c>
      <c r="H63" s="326">
        <f t="shared" si="26"/>
        <v>556000</v>
      </c>
      <c r="I63" s="326">
        <f t="shared" si="26"/>
        <v>556000</v>
      </c>
      <c r="J63" s="431">
        <v>0</v>
      </c>
      <c r="K63" s="326">
        <f t="shared" si="26"/>
        <v>208000</v>
      </c>
      <c r="L63" s="326">
        <f t="shared" si="26"/>
        <v>556000</v>
      </c>
      <c r="M63" s="326">
        <f t="shared" si="26"/>
        <v>150000</v>
      </c>
      <c r="N63" s="326">
        <f t="shared" si="26"/>
        <v>180000</v>
      </c>
      <c r="O63" s="326">
        <f t="shared" si="26"/>
        <v>0</v>
      </c>
      <c r="P63" s="338">
        <f>SUM(B63:O63)-J63</f>
        <v>3230300</v>
      </c>
      <c r="Q63" s="373"/>
      <c r="R63" s="373"/>
      <c r="S63" s="373"/>
      <c r="T63" s="373"/>
      <c r="U63" s="373"/>
      <c r="V63" s="49" t="s">
        <v>2</v>
      </c>
      <c r="W63" s="39">
        <v>91999903</v>
      </c>
      <c r="X63" s="80" t="s">
        <v>508</v>
      </c>
      <c r="Y63" s="80" t="s">
        <v>529</v>
      </c>
      <c r="Z63" s="60">
        <v>3210</v>
      </c>
      <c r="AA63" s="326">
        <v>2000000</v>
      </c>
      <c r="AB63" s="7"/>
      <c r="AC63" s="12"/>
    </row>
    <row r="64" spans="1:29">
      <c r="A64" s="436" t="s">
        <v>510</v>
      </c>
      <c r="B64" s="326">
        <f t="shared" ref="B64:O64" si="27">IF(OR(B18="A",B18="B"),B87,ROUND(B87*B13,0))</f>
        <v>679452</v>
      </c>
      <c r="C64" s="326">
        <f t="shared" si="27"/>
        <v>679452</v>
      </c>
      <c r="D64" s="326">
        <f t="shared" si="27"/>
        <v>0</v>
      </c>
      <c r="E64" s="326">
        <f t="shared" si="27"/>
        <v>679452</v>
      </c>
      <c r="F64" s="326">
        <f t="shared" si="27"/>
        <v>679452</v>
      </c>
      <c r="G64" s="326">
        <f t="shared" si="27"/>
        <v>0</v>
      </c>
      <c r="H64" s="326">
        <f t="shared" si="27"/>
        <v>339726</v>
      </c>
      <c r="I64" s="326">
        <f t="shared" si="27"/>
        <v>0</v>
      </c>
      <c r="J64" s="431">
        <f t="shared" si="27"/>
        <v>0</v>
      </c>
      <c r="K64" s="326">
        <f t="shared" si="27"/>
        <v>0</v>
      </c>
      <c r="L64" s="326">
        <f t="shared" si="27"/>
        <v>0</v>
      </c>
      <c r="M64" s="326">
        <f t="shared" si="27"/>
        <v>0</v>
      </c>
      <c r="N64" s="326">
        <f t="shared" si="27"/>
        <v>0</v>
      </c>
      <c r="O64" s="326">
        <f t="shared" si="27"/>
        <v>0</v>
      </c>
      <c r="P64" s="338">
        <f>SUM(B64:O64)-J64</f>
        <v>3057534</v>
      </c>
      <c r="Q64" s="374"/>
      <c r="R64" s="373"/>
      <c r="S64" s="374"/>
      <c r="T64" s="374"/>
      <c r="U64" s="374"/>
      <c r="V64" s="49" t="s">
        <v>2</v>
      </c>
      <c r="W64" s="39">
        <v>91999907</v>
      </c>
      <c r="X64" s="80" t="s">
        <v>1193</v>
      </c>
      <c r="Y64" s="80" t="s">
        <v>529</v>
      </c>
      <c r="Z64" s="60">
        <v>3240</v>
      </c>
      <c r="AA64" s="326">
        <v>500</v>
      </c>
      <c r="AB64" s="7" t="s">
        <v>539</v>
      </c>
      <c r="AC64" s="12"/>
    </row>
    <row r="65" spans="1:29">
      <c r="A65" s="442" t="s">
        <v>836</v>
      </c>
      <c r="B65" s="326"/>
      <c r="C65" s="326"/>
      <c r="D65" s="326"/>
      <c r="E65" s="326"/>
      <c r="F65" s="326"/>
      <c r="G65" s="326"/>
      <c r="H65" s="326"/>
      <c r="I65" s="326">
        <f>ROUND(AA66*B4,0)</f>
        <v>3480750</v>
      </c>
      <c r="J65" s="431"/>
      <c r="K65" s="362">
        <f>AA67</f>
        <v>4000000</v>
      </c>
      <c r="L65" s="326"/>
      <c r="M65" s="326"/>
      <c r="N65" s="326"/>
      <c r="O65" s="326"/>
      <c r="P65" s="338">
        <f>SUM(B65:O65)-J65</f>
        <v>7480750</v>
      </c>
      <c r="Q65" s="373"/>
      <c r="R65" s="373"/>
      <c r="S65" s="373"/>
      <c r="T65" s="373"/>
      <c r="U65" s="373"/>
      <c r="V65" s="49" t="s">
        <v>2</v>
      </c>
      <c r="W65" s="39">
        <v>91999908</v>
      </c>
      <c r="X65" s="7" t="s">
        <v>596</v>
      </c>
      <c r="Y65" s="80" t="s">
        <v>529</v>
      </c>
      <c r="Z65" s="60">
        <v>3240</v>
      </c>
      <c r="AA65" s="326">
        <v>600</v>
      </c>
      <c r="AB65" s="7" t="s">
        <v>539</v>
      </c>
      <c r="AC65" s="12"/>
    </row>
    <row r="66" spans="1:29">
      <c r="A66" s="405"/>
      <c r="B66" s="325"/>
      <c r="C66" s="326"/>
      <c r="D66" s="326"/>
      <c r="E66" s="334"/>
      <c r="F66" s="326"/>
      <c r="G66" s="326"/>
      <c r="H66" s="326"/>
      <c r="I66" s="326"/>
      <c r="J66" s="432"/>
      <c r="K66" s="334"/>
      <c r="L66" s="334"/>
      <c r="M66" s="334"/>
      <c r="N66" s="334"/>
      <c r="O66" s="334"/>
      <c r="P66" s="339"/>
      <c r="Q66" s="373"/>
      <c r="R66" s="373"/>
      <c r="S66" s="373"/>
      <c r="T66" s="373"/>
      <c r="U66" s="373"/>
      <c r="V66" s="49" t="s">
        <v>2</v>
      </c>
      <c r="W66" s="39">
        <v>91999908</v>
      </c>
      <c r="X66" s="7" t="s">
        <v>837</v>
      </c>
      <c r="Y66" s="80" t="s">
        <v>847</v>
      </c>
      <c r="Z66" s="60">
        <v>3601</v>
      </c>
      <c r="AA66" s="326">
        <v>150</v>
      </c>
      <c r="AB66" s="7" t="s">
        <v>839</v>
      </c>
      <c r="AC66" s="12"/>
    </row>
    <row r="67" spans="1:29" ht="15.6">
      <c r="A67" s="404" t="s">
        <v>474</v>
      </c>
      <c r="B67" s="325"/>
      <c r="C67" s="326"/>
      <c r="D67" s="326"/>
      <c r="E67" s="334"/>
      <c r="F67" s="326"/>
      <c r="G67" s="326"/>
      <c r="H67" s="326"/>
      <c r="I67" s="326"/>
      <c r="J67" s="432"/>
      <c r="K67" s="334"/>
      <c r="L67" s="334"/>
      <c r="M67" s="334"/>
      <c r="N67" s="334"/>
      <c r="O67" s="334"/>
      <c r="P67" s="339"/>
      <c r="Q67" s="373"/>
      <c r="R67" s="373"/>
      <c r="S67" s="373"/>
      <c r="T67" s="373"/>
      <c r="U67" s="373"/>
      <c r="V67" s="49" t="s">
        <v>2</v>
      </c>
      <c r="W67" s="39">
        <v>91999910</v>
      </c>
      <c r="X67" s="7" t="s">
        <v>838</v>
      </c>
      <c r="Y67" s="80" t="s">
        <v>847</v>
      </c>
      <c r="Z67" s="60">
        <v>3601</v>
      </c>
      <c r="AA67" s="326">
        <v>4000000</v>
      </c>
      <c r="AB67" s="7"/>
      <c r="AC67" s="12"/>
    </row>
    <row r="68" spans="1:29">
      <c r="A68" s="436" t="s">
        <v>1206</v>
      </c>
      <c r="B68" s="326">
        <f>IF(AND(OR(B11="1",B11="P"),'New Hire'!C28="Local"),ROUND(B134*B84,0),0)</f>
        <v>440613</v>
      </c>
      <c r="C68" s="326">
        <f>IF(AND(OR(C11="1",C11="P"),'New Hire'!D28="Local"),ROUND(C134*C84,0),0)</f>
        <v>356897</v>
      </c>
      <c r="D68" s="326">
        <f>IF(AND(OR(D11="1",D11="P"),'New Hire'!E28="Local"),ROUND(D134*D84,0),0)</f>
        <v>0</v>
      </c>
      <c r="E68" s="326">
        <f>IF(AND(OR(E11="1",E11="P"),'New Hire'!F28="Local"),ROUND(E134*E84,0),0)</f>
        <v>0</v>
      </c>
      <c r="F68" s="326">
        <f>IF(AND(OR(F11="1",F11="P"),'New Hire'!G28="Local"),ROUND(F134*F84,0),0)</f>
        <v>0</v>
      </c>
      <c r="G68" s="326">
        <f>IF(AND(OR(G11="1",G11="P"),'New Hire'!H28="Local"),ROUND(G134*G84,0),0)</f>
        <v>0</v>
      </c>
      <c r="H68" s="326">
        <f>IF(AND(OR(H11="1",H11="P"),'New Hire'!I28="Local"),ROUND(H134*H84,0),0)</f>
        <v>0</v>
      </c>
      <c r="I68" s="326">
        <f>IF(AND(OR(I11="1",I11="P"),'New Hire'!J28="Local"),ROUND(I134*I84,0),0)</f>
        <v>0</v>
      </c>
      <c r="J68" s="431">
        <f>IF(AND(OR(J11="1",J11="P"),'New Hire'!K28="Local"),ROUND(J134*J13*ROUND(J14/261,7),0))</f>
        <v>344829</v>
      </c>
      <c r="K68" s="326">
        <f>IF(AND(OR(K11="1",K11="P"),'New Hire'!L28="Local"),ROUND(K134*K84,0),0)</f>
        <v>704981</v>
      </c>
      <c r="L68" s="326">
        <f>IF(AND(OR(L11="1",L11="P"),'New Hire'!M28="Local"),ROUND(ROUND(L134*L13,0)*L14/261,0))</f>
        <v>7931034</v>
      </c>
      <c r="M68" s="326">
        <f>IF(AND(OR(M11="1",M11="P"),'New Hire'!N28="Local"),ROUND(M134*M84,0),0)</f>
        <v>0</v>
      </c>
      <c r="N68" s="326">
        <f>IF(AND(OR(N11="1",N11="P"),'New Hire'!O28="Local"),ROUND(N134*N84,0),0)</f>
        <v>0</v>
      </c>
      <c r="O68" s="326">
        <f>IF(AND(OR(O11="1",O11="P"),'New Hire'!P28="Local"),ROUND(O134*O84,0),0)</f>
        <v>0</v>
      </c>
      <c r="P68" s="339">
        <f t="shared" si="25"/>
        <v>9433525</v>
      </c>
      <c r="Q68" s="373"/>
      <c r="R68" s="373"/>
      <c r="S68" s="373"/>
      <c r="T68" s="373"/>
      <c r="U68" s="373"/>
      <c r="V68" s="49" t="s">
        <v>1214</v>
      </c>
      <c r="W68" s="39">
        <v>91999902</v>
      </c>
      <c r="X68" s="7" t="s">
        <v>1215</v>
      </c>
      <c r="Y68" s="7" t="s">
        <v>1215</v>
      </c>
      <c r="Z68" s="60">
        <v>9200</v>
      </c>
      <c r="AA68" s="326"/>
      <c r="AB68" s="7">
        <v>726</v>
      </c>
      <c r="AC68" s="12" t="s">
        <v>1216</v>
      </c>
    </row>
    <row r="69" spans="1:29">
      <c r="A69" s="436" t="s">
        <v>482</v>
      </c>
      <c r="B69" s="584"/>
      <c r="C69" s="584">
        <f>CEILING(ROUND((AB68-AB69)/261,2),0.5)</f>
        <v>2.5</v>
      </c>
      <c r="D69" s="584"/>
      <c r="E69" s="584"/>
      <c r="F69" s="584"/>
      <c r="G69" s="584"/>
      <c r="H69" s="584">
        <f>CEILING(ROUND((AB70+H14)/261,2),0.5)</f>
        <v>4.5</v>
      </c>
      <c r="I69" s="584">
        <f>CEILING(ROUND(I14/261,2),0.5)</f>
        <v>0.5</v>
      </c>
      <c r="J69" s="538"/>
      <c r="K69" s="584"/>
      <c r="L69" s="584"/>
      <c r="M69" s="584"/>
      <c r="N69" s="584">
        <f>CEILING(AB71/261,0.5)</f>
        <v>1.5</v>
      </c>
      <c r="O69" s="584"/>
      <c r="P69" s="654">
        <f t="shared" si="25"/>
        <v>9</v>
      </c>
      <c r="Q69" s="373"/>
      <c r="R69" s="373"/>
      <c r="S69" s="373"/>
      <c r="T69" s="373"/>
      <c r="U69" s="373"/>
      <c r="V69" s="49" t="s">
        <v>1214</v>
      </c>
      <c r="W69" s="39">
        <v>91999902</v>
      </c>
      <c r="X69" s="7" t="s">
        <v>1215</v>
      </c>
      <c r="Y69" s="7" t="s">
        <v>1215</v>
      </c>
      <c r="Z69" s="60">
        <v>9201</v>
      </c>
      <c r="AA69" s="326"/>
      <c r="AB69" s="7">
        <v>80</v>
      </c>
      <c r="AC69" s="12" t="s">
        <v>1216</v>
      </c>
    </row>
    <row r="70" spans="1:29">
      <c r="A70" s="436" t="s">
        <v>581</v>
      </c>
      <c r="B70" s="326">
        <f>B94</f>
        <v>10300000</v>
      </c>
      <c r="C70" s="326">
        <f t="shared" ref="C70:O70" si="28">C94</f>
        <v>9342000</v>
      </c>
      <c r="D70" s="326">
        <f t="shared" si="28"/>
        <v>10666957</v>
      </c>
      <c r="E70" s="326">
        <f t="shared" si="28"/>
        <v>10800000</v>
      </c>
      <c r="F70" s="326">
        <f t="shared" si="28"/>
        <v>12640000</v>
      </c>
      <c r="G70" s="326">
        <f t="shared" si="28"/>
        <v>0</v>
      </c>
      <c r="H70" s="326">
        <f t="shared" si="28"/>
        <v>72515625</v>
      </c>
      <c r="I70" s="326">
        <f t="shared" si="28"/>
        <v>68483756</v>
      </c>
      <c r="J70" s="431">
        <f t="shared" si="28"/>
        <v>39000000</v>
      </c>
      <c r="K70" s="326">
        <f t="shared" si="28"/>
        <v>11130000</v>
      </c>
      <c r="L70" s="326">
        <f t="shared" si="28"/>
        <v>90000000</v>
      </c>
      <c r="M70" s="326">
        <f t="shared" si="28"/>
        <v>7500000</v>
      </c>
      <c r="N70" s="326">
        <f t="shared" si="28"/>
        <v>9000000</v>
      </c>
      <c r="O70" s="326">
        <f t="shared" si="28"/>
        <v>0</v>
      </c>
      <c r="P70" s="339">
        <f t="shared" si="25"/>
        <v>312378338</v>
      </c>
      <c r="Q70" s="373"/>
      <c r="R70" s="373"/>
      <c r="S70" s="373"/>
      <c r="T70" s="373"/>
      <c r="U70" s="373"/>
      <c r="V70" s="49" t="s">
        <v>1214</v>
      </c>
      <c r="W70" s="39">
        <v>91999907</v>
      </c>
      <c r="X70" s="7" t="s">
        <v>1215</v>
      </c>
      <c r="Y70" s="7" t="s">
        <v>1215</v>
      </c>
      <c r="Z70" s="60">
        <v>9220</v>
      </c>
      <c r="AA70" s="326"/>
      <c r="AB70" s="7">
        <v>1132</v>
      </c>
      <c r="AC70" s="12" t="s">
        <v>1216</v>
      </c>
    </row>
    <row r="71" spans="1:29">
      <c r="A71" s="405"/>
      <c r="B71" s="325"/>
      <c r="C71" s="326"/>
      <c r="D71" s="326"/>
      <c r="E71" s="334"/>
      <c r="F71" s="326"/>
      <c r="G71" s="326"/>
      <c r="H71" s="326"/>
      <c r="I71" s="326"/>
      <c r="J71" s="432"/>
      <c r="K71" s="334"/>
      <c r="L71" s="334"/>
      <c r="M71" s="334"/>
      <c r="N71" s="334"/>
      <c r="O71" s="334"/>
      <c r="P71" s="339"/>
      <c r="Q71" s="373"/>
      <c r="R71" s="373"/>
      <c r="S71" s="373"/>
      <c r="T71" s="373"/>
      <c r="U71" s="373"/>
      <c r="V71" s="49" t="s">
        <v>1214</v>
      </c>
      <c r="W71" s="39">
        <v>91999913</v>
      </c>
      <c r="X71" s="7" t="s">
        <v>1215</v>
      </c>
      <c r="Y71" s="7" t="s">
        <v>1215</v>
      </c>
      <c r="Z71" s="60">
        <v>9200</v>
      </c>
      <c r="AA71" s="326"/>
      <c r="AB71" s="7">
        <v>263</v>
      </c>
      <c r="AC71" s="12" t="s">
        <v>1216</v>
      </c>
    </row>
    <row r="72" spans="1:29" ht="15.6">
      <c r="A72" s="404" t="s">
        <v>1228</v>
      </c>
      <c r="B72" s="468"/>
      <c r="C72" s="468"/>
      <c r="D72" s="468"/>
      <c r="E72" s="468"/>
      <c r="F72" s="468"/>
      <c r="G72" s="468"/>
      <c r="H72" s="468"/>
      <c r="I72" s="468"/>
      <c r="J72" s="558"/>
      <c r="K72" s="468"/>
      <c r="L72" s="468"/>
      <c r="M72" s="468"/>
      <c r="N72" s="468"/>
      <c r="O72" s="468"/>
      <c r="P72" s="339"/>
      <c r="Q72" s="373"/>
      <c r="R72" s="373"/>
      <c r="S72" s="373"/>
      <c r="T72" s="373"/>
      <c r="U72" s="373"/>
      <c r="V72" s="49" t="s">
        <v>1250</v>
      </c>
      <c r="W72" s="39">
        <v>91999903</v>
      </c>
      <c r="X72" s="7" t="s">
        <v>1255</v>
      </c>
      <c r="Y72" s="7" t="s">
        <v>1256</v>
      </c>
      <c r="Z72" s="60">
        <v>3160</v>
      </c>
      <c r="AA72" s="326">
        <v>3000000</v>
      </c>
      <c r="AB72" s="7"/>
      <c r="AC72" s="12"/>
    </row>
    <row r="73" spans="1:29">
      <c r="A73" s="462" t="s">
        <v>1120</v>
      </c>
      <c r="B73" s="334">
        <f>B80*(B107+B108)</f>
        <v>0</v>
      </c>
      <c r="C73" s="334">
        <f t="shared" ref="C73:O73" si="29">C79*(C107+C108)</f>
        <v>0</v>
      </c>
      <c r="D73" s="334">
        <f t="shared" si="29"/>
        <v>0</v>
      </c>
      <c r="E73" s="334">
        <f t="shared" si="29"/>
        <v>0</v>
      </c>
      <c r="F73" s="334">
        <f t="shared" si="29"/>
        <v>0</v>
      </c>
      <c r="G73" s="334">
        <f t="shared" si="29"/>
        <v>0</v>
      </c>
      <c r="H73" s="334">
        <f t="shared" si="29"/>
        <v>0</v>
      </c>
      <c r="I73" s="334">
        <f t="shared" si="29"/>
        <v>0</v>
      </c>
      <c r="J73" s="432">
        <f t="shared" si="29"/>
        <v>0</v>
      </c>
      <c r="K73" s="334">
        <f t="shared" si="29"/>
        <v>0</v>
      </c>
      <c r="L73" s="334">
        <f t="shared" si="29"/>
        <v>0</v>
      </c>
      <c r="M73" s="334">
        <f t="shared" si="29"/>
        <v>0</v>
      </c>
      <c r="N73" s="334">
        <f t="shared" si="29"/>
        <v>0</v>
      </c>
      <c r="O73" s="334">
        <f t="shared" si="29"/>
        <v>0</v>
      </c>
      <c r="P73" s="339">
        <f t="shared" si="25"/>
        <v>0</v>
      </c>
      <c r="Q73" s="373"/>
      <c r="R73" s="373"/>
      <c r="S73" s="373"/>
      <c r="T73" s="373"/>
      <c r="U73" s="373"/>
      <c r="V73" s="49" t="s">
        <v>1250</v>
      </c>
      <c r="W73" s="39">
        <v>91999907</v>
      </c>
      <c r="X73" s="7" t="s">
        <v>1257</v>
      </c>
      <c r="Y73" s="7" t="s">
        <v>1256</v>
      </c>
      <c r="Z73" s="60">
        <v>3160</v>
      </c>
      <c r="AA73" s="326">
        <v>400</v>
      </c>
      <c r="AB73" s="7" t="s">
        <v>1258</v>
      </c>
      <c r="AC73" s="12"/>
    </row>
    <row r="74" spans="1:29">
      <c r="A74" s="462" t="s">
        <v>832</v>
      </c>
      <c r="B74" s="334">
        <f>B105*B80</f>
        <v>7846080</v>
      </c>
      <c r="C74" s="334">
        <f t="shared" ref="C74:O74" si="30">C105*C80</f>
        <v>6521472</v>
      </c>
      <c r="D74" s="334">
        <f t="shared" si="30"/>
        <v>10049483.34</v>
      </c>
      <c r="E74" s="334">
        <f t="shared" si="30"/>
        <v>8307680</v>
      </c>
      <c r="F74" s="334">
        <f t="shared" si="30"/>
        <v>10338432</v>
      </c>
      <c r="G74" s="334">
        <f t="shared" si="30"/>
        <v>0</v>
      </c>
      <c r="H74" s="334">
        <f t="shared" si="30"/>
        <v>70150480</v>
      </c>
      <c r="I74" s="334">
        <f t="shared" si="30"/>
        <v>0</v>
      </c>
      <c r="J74" s="432">
        <f t="shared" si="30"/>
        <v>33240000</v>
      </c>
      <c r="K74" s="334">
        <f t="shared" si="30"/>
        <v>9600000</v>
      </c>
      <c r="L74" s="334">
        <f t="shared" si="30"/>
        <v>83076960</v>
      </c>
      <c r="M74" s="334">
        <f t="shared" si="30"/>
        <v>6923040</v>
      </c>
      <c r="N74" s="334">
        <f t="shared" si="30"/>
        <v>8307680</v>
      </c>
      <c r="O74" s="334">
        <f t="shared" si="30"/>
        <v>0</v>
      </c>
      <c r="P74" s="339">
        <f t="shared" si="25"/>
        <v>221121307.34</v>
      </c>
      <c r="Q74" s="373"/>
      <c r="R74" s="373"/>
      <c r="S74" s="373"/>
      <c r="T74" s="373"/>
      <c r="U74" s="373"/>
      <c r="V74" s="32"/>
      <c r="W74" s="44"/>
      <c r="X74" s="13"/>
      <c r="Y74" s="13"/>
      <c r="Z74" s="13"/>
      <c r="AA74" s="356"/>
      <c r="AB74" s="13"/>
      <c r="AC74" s="18"/>
    </row>
    <row r="75" spans="1:29">
      <c r="A75" s="462" t="s">
        <v>833</v>
      </c>
      <c r="B75" s="334">
        <f>ROUND(ROUND(ROUND(ROUND((B134+B126+B125)*B13,0)*12*B15*AB33,0)/261,0)/10,0)</f>
        <v>546501</v>
      </c>
      <c r="C75" s="334"/>
      <c r="D75" s="334"/>
      <c r="E75" s="334"/>
      <c r="F75" s="334"/>
      <c r="G75" s="334"/>
      <c r="H75" s="668">
        <f>ROUND(ROUND(ROUND(ROUND((H134+H126+H125)*H13,0)*12*H15*AB34,0)/261,0)/10,0)</f>
        <v>3023158</v>
      </c>
      <c r="I75" s="334"/>
      <c r="J75" s="432"/>
      <c r="K75" s="334"/>
      <c r="L75" s="334"/>
      <c r="M75" s="334"/>
      <c r="N75" s="334"/>
      <c r="O75" s="334"/>
      <c r="P75" s="339">
        <f t="shared" si="25"/>
        <v>3569659</v>
      </c>
      <c r="Q75" s="373"/>
      <c r="R75" s="373"/>
      <c r="S75" s="373"/>
      <c r="T75" s="373"/>
      <c r="U75" s="373"/>
      <c r="V75" s="32"/>
      <c r="W75" s="44"/>
      <c r="X75" s="13"/>
      <c r="Y75" s="13"/>
      <c r="Z75" s="13"/>
      <c r="AA75" s="356"/>
      <c r="AB75" s="13"/>
      <c r="AC75" s="18"/>
    </row>
    <row r="76" spans="1:29">
      <c r="A76" s="462" t="s">
        <v>834</v>
      </c>
      <c r="B76" s="334"/>
      <c r="C76" s="334">
        <f>ROUND(ROUND(C134*C83,0)*C69*50%,0)</f>
        <v>5062500</v>
      </c>
      <c r="D76" s="334"/>
      <c r="E76" s="334"/>
      <c r="F76" s="334"/>
      <c r="G76" s="334"/>
      <c r="H76" s="334">
        <f>ROUND(ROUND(H134*H83,0)*H69*50%,0)</f>
        <v>114864750</v>
      </c>
      <c r="I76" s="334"/>
      <c r="J76" s="432"/>
      <c r="K76" s="334"/>
      <c r="L76" s="334"/>
      <c r="M76" s="334"/>
      <c r="N76" s="334">
        <f>ROUND(ROUND(N134*N83,0)*N69*50%,0)</f>
        <v>4875000</v>
      </c>
      <c r="O76" s="334"/>
      <c r="P76" s="339">
        <f t="shared" si="25"/>
        <v>124802250</v>
      </c>
      <c r="Q76" s="373"/>
      <c r="R76" s="373"/>
      <c r="S76" s="373"/>
      <c r="T76" s="373"/>
      <c r="U76" s="373"/>
      <c r="V76" s="42"/>
      <c r="W76" s="43"/>
      <c r="X76" s="13"/>
      <c r="Y76" s="13"/>
      <c r="Z76" s="61"/>
      <c r="AA76" s="356"/>
      <c r="AB76" s="13"/>
      <c r="AC76" s="18"/>
    </row>
    <row r="77" spans="1:29">
      <c r="A77" s="462"/>
      <c r="B77" s="468"/>
      <c r="C77" s="468"/>
      <c r="D77" s="468"/>
      <c r="E77" s="468"/>
      <c r="F77" s="468"/>
      <c r="G77" s="468"/>
      <c r="H77" s="468"/>
      <c r="I77" s="468"/>
      <c r="J77" s="558"/>
      <c r="K77" s="468"/>
      <c r="L77" s="468"/>
      <c r="M77" s="468"/>
      <c r="N77" s="468"/>
      <c r="O77" s="468"/>
      <c r="P77" s="339"/>
      <c r="Q77" s="373"/>
      <c r="R77" s="373"/>
      <c r="S77" s="373"/>
      <c r="T77" s="373"/>
      <c r="U77" s="373"/>
      <c r="V77" s="24" t="s">
        <v>57</v>
      </c>
      <c r="W77" s="37" t="s">
        <v>67</v>
      </c>
      <c r="X77" s="37" t="s">
        <v>69</v>
      </c>
      <c r="Y77" s="37" t="s">
        <v>70</v>
      </c>
      <c r="Z77" s="62" t="s">
        <v>424</v>
      </c>
      <c r="AA77" s="357" t="s">
        <v>425</v>
      </c>
      <c r="AB77" s="37" t="s">
        <v>56</v>
      </c>
      <c r="AC77" s="38" t="s">
        <v>675</v>
      </c>
    </row>
    <row r="78" spans="1:29" ht="15.6">
      <c r="A78" s="404" t="s">
        <v>483</v>
      </c>
      <c r="B78" s="325"/>
      <c r="C78" s="326"/>
      <c r="D78" s="326"/>
      <c r="E78" s="334"/>
      <c r="F78" s="326"/>
      <c r="G78" s="326"/>
      <c r="H78" s="326"/>
      <c r="I78" s="326"/>
      <c r="J78" s="432"/>
      <c r="K78" s="334"/>
      <c r="L78" s="334"/>
      <c r="M78" s="334"/>
      <c r="N78" s="334"/>
      <c r="O78" s="334"/>
      <c r="P78" s="339"/>
      <c r="Q78" s="373"/>
      <c r="R78" s="373"/>
      <c r="S78" s="373"/>
      <c r="T78" s="373"/>
      <c r="U78" s="373"/>
      <c r="V78" s="49" t="s">
        <v>422</v>
      </c>
      <c r="W78" s="347">
        <v>91999906</v>
      </c>
      <c r="X78" s="283" t="s">
        <v>1205</v>
      </c>
      <c r="Y78" s="283" t="s">
        <v>1205</v>
      </c>
      <c r="Z78" s="286">
        <v>0.375</v>
      </c>
      <c r="AA78" s="286">
        <v>0.47916666666666669</v>
      </c>
      <c r="AB78" s="284">
        <v>9180</v>
      </c>
      <c r="AC78" s="467">
        <v>2.5</v>
      </c>
    </row>
    <row r="79" spans="1:29">
      <c r="A79" s="436" t="s">
        <v>488</v>
      </c>
      <c r="B79" s="326">
        <f t="shared" ref="B79:O79" si="31">IF(B11&lt;&gt;"C",ROUND(B133*12/52/40,0),0)</f>
        <v>28846</v>
      </c>
      <c r="C79" s="326">
        <f t="shared" si="31"/>
        <v>25962</v>
      </c>
      <c r="D79" s="326">
        <f t="shared" si="31"/>
        <v>40385</v>
      </c>
      <c r="E79" s="326">
        <f t="shared" si="31"/>
        <v>51923</v>
      </c>
      <c r="F79" s="326">
        <f t="shared" si="31"/>
        <v>80769</v>
      </c>
      <c r="G79" s="326">
        <f t="shared" si="31"/>
        <v>0</v>
      </c>
      <c r="H79" s="362">
        <f t="shared" si="31"/>
        <v>629213</v>
      </c>
      <c r="I79" s="362">
        <f t="shared" si="31"/>
        <v>495338</v>
      </c>
      <c r="J79" s="431">
        <f t="shared" si="31"/>
        <v>288462</v>
      </c>
      <c r="K79" s="326">
        <f t="shared" si="31"/>
        <v>46154</v>
      </c>
      <c r="L79" s="326">
        <f t="shared" si="31"/>
        <v>519231</v>
      </c>
      <c r="M79" s="326">
        <f t="shared" si="31"/>
        <v>28846</v>
      </c>
      <c r="N79" s="326">
        <f t="shared" si="31"/>
        <v>37500</v>
      </c>
      <c r="O79" s="326">
        <f t="shared" si="31"/>
        <v>0</v>
      </c>
      <c r="P79" s="339">
        <f t="shared" si="25"/>
        <v>1984167</v>
      </c>
      <c r="Q79" s="335"/>
      <c r="R79" s="335"/>
      <c r="S79" s="335"/>
      <c r="T79" s="335"/>
      <c r="U79" s="335"/>
      <c r="V79" s="49" t="s">
        <v>422</v>
      </c>
      <c r="W79" s="347">
        <v>91999906</v>
      </c>
      <c r="X79" s="283" t="s">
        <v>678</v>
      </c>
      <c r="Y79" s="283" t="s">
        <v>678</v>
      </c>
      <c r="Z79" s="286">
        <v>0.375</v>
      </c>
      <c r="AA79" s="286">
        <v>0.47916666666666669</v>
      </c>
      <c r="AB79" s="284">
        <v>9180</v>
      </c>
      <c r="AC79" s="467">
        <v>2.5</v>
      </c>
    </row>
    <row r="80" spans="1:29">
      <c r="A80" s="436" t="s">
        <v>499</v>
      </c>
      <c r="B80" s="326">
        <f>IF(B11&lt;&gt;"C",ROUND(SUM(B133,B120,B121,B124)*12/52/40,0),0)</f>
        <v>49038</v>
      </c>
      <c r="C80" s="326">
        <f t="shared" ref="C80:O80" si="32">IF(C11&lt;&gt;"C",ROUND(SUM(C133,C120,C121,C124)*12/52/40,0),0)</f>
        <v>45288</v>
      </c>
      <c r="D80" s="326">
        <f t="shared" si="32"/>
        <v>64038</v>
      </c>
      <c r="E80" s="326">
        <f t="shared" si="32"/>
        <v>51923</v>
      </c>
      <c r="F80" s="326">
        <f t="shared" si="32"/>
        <v>80769</v>
      </c>
      <c r="G80" s="326">
        <f t="shared" si="32"/>
        <v>0</v>
      </c>
      <c r="H80" s="326">
        <f t="shared" si="32"/>
        <v>876881</v>
      </c>
      <c r="I80" s="326">
        <f t="shared" si="32"/>
        <v>540186</v>
      </c>
      <c r="J80" s="431">
        <f t="shared" si="32"/>
        <v>375000</v>
      </c>
      <c r="K80" s="326">
        <f t="shared" si="32"/>
        <v>60000</v>
      </c>
      <c r="L80" s="326">
        <f t="shared" si="32"/>
        <v>519231</v>
      </c>
      <c r="M80" s="326">
        <f t="shared" si="32"/>
        <v>43269</v>
      </c>
      <c r="N80" s="326">
        <f t="shared" si="32"/>
        <v>51923</v>
      </c>
      <c r="O80" s="326">
        <f t="shared" si="32"/>
        <v>0</v>
      </c>
      <c r="P80" s="339">
        <f t="shared" si="25"/>
        <v>2382546</v>
      </c>
      <c r="Q80" s="335"/>
      <c r="R80" s="335"/>
      <c r="S80" s="335"/>
      <c r="T80" s="335"/>
      <c r="U80" s="335"/>
      <c r="V80" s="49" t="s">
        <v>422</v>
      </c>
      <c r="W80" s="347">
        <v>91999914</v>
      </c>
      <c r="X80" s="283" t="s">
        <v>676</v>
      </c>
      <c r="Y80" s="283" t="s">
        <v>676</v>
      </c>
      <c r="Z80" s="286">
        <v>0.375</v>
      </c>
      <c r="AA80" s="286">
        <v>0.47916666666666669</v>
      </c>
      <c r="AB80" s="284">
        <v>9180</v>
      </c>
      <c r="AC80" s="467">
        <v>2.5</v>
      </c>
    </row>
    <row r="81" spans="1:29">
      <c r="A81" s="436" t="s">
        <v>500</v>
      </c>
      <c r="B81" s="326">
        <f t="shared" ref="B81:O81" si="33">ROUND(B133/B15,0)</f>
        <v>217391</v>
      </c>
      <c r="C81" s="326">
        <f t="shared" si="33"/>
        <v>195652</v>
      </c>
      <c r="D81" s="326">
        <f t="shared" si="33"/>
        <v>304348</v>
      </c>
      <c r="E81" s="326">
        <f t="shared" si="33"/>
        <v>391304</v>
      </c>
      <c r="F81" s="326">
        <f t="shared" si="33"/>
        <v>608696</v>
      </c>
      <c r="G81" s="326">
        <f t="shared" si="33"/>
        <v>0</v>
      </c>
      <c r="H81" s="326">
        <f t="shared" si="33"/>
        <v>4741891</v>
      </c>
      <c r="I81" s="326">
        <f t="shared" si="33"/>
        <v>3732978</v>
      </c>
      <c r="J81" s="431">
        <f t="shared" si="33"/>
        <v>2173913</v>
      </c>
      <c r="K81" s="326">
        <f t="shared" si="33"/>
        <v>347826</v>
      </c>
      <c r="L81" s="326">
        <f t="shared" si="33"/>
        <v>3913043</v>
      </c>
      <c r="M81" s="326">
        <f t="shared" si="33"/>
        <v>217391</v>
      </c>
      <c r="N81" s="326">
        <f t="shared" si="33"/>
        <v>282609</v>
      </c>
      <c r="O81" s="326">
        <f t="shared" si="33"/>
        <v>0</v>
      </c>
      <c r="P81" s="339">
        <f t="shared" si="25"/>
        <v>14953129</v>
      </c>
      <c r="Q81" s="335"/>
      <c r="R81" s="335"/>
      <c r="S81" s="335"/>
      <c r="T81" s="335"/>
      <c r="U81" s="335"/>
      <c r="V81" s="49" t="s">
        <v>422</v>
      </c>
      <c r="W81" s="347">
        <v>91999914</v>
      </c>
      <c r="X81" s="283" t="s">
        <v>677</v>
      </c>
      <c r="Y81" s="283" t="s">
        <v>677</v>
      </c>
      <c r="Z81" s="286">
        <v>0.375</v>
      </c>
      <c r="AA81" s="286">
        <v>0.47916666666666669</v>
      </c>
      <c r="AB81" s="284">
        <v>9180</v>
      </c>
      <c r="AC81" s="467">
        <v>2.5</v>
      </c>
    </row>
    <row r="82" spans="1:29">
      <c r="A82" s="436" t="s">
        <v>621</v>
      </c>
      <c r="B82" s="326">
        <f t="shared" ref="B82:O82" si="34">ROUND(SUM(B120:B122,B124:B127)/B15,0)</f>
        <v>447826</v>
      </c>
      <c r="C82" s="326">
        <f t="shared" si="34"/>
        <v>473043</v>
      </c>
      <c r="D82" s="326">
        <f t="shared" si="34"/>
        <v>505652</v>
      </c>
      <c r="E82" s="326">
        <f t="shared" si="34"/>
        <v>208696</v>
      </c>
      <c r="F82" s="326">
        <f t="shared" si="34"/>
        <v>208696</v>
      </c>
      <c r="G82" s="326">
        <f t="shared" si="34"/>
        <v>0</v>
      </c>
      <c r="H82" s="326">
        <f t="shared" si="34"/>
        <v>1866489</v>
      </c>
      <c r="I82" s="326">
        <f t="shared" si="34"/>
        <v>337986</v>
      </c>
      <c r="J82" s="431">
        <f t="shared" si="34"/>
        <v>652174</v>
      </c>
      <c r="K82" s="326">
        <f t="shared" si="34"/>
        <v>136087</v>
      </c>
      <c r="L82" s="326">
        <f t="shared" si="34"/>
        <v>0</v>
      </c>
      <c r="M82" s="326">
        <f t="shared" si="34"/>
        <v>108696</v>
      </c>
      <c r="N82" s="326">
        <f t="shared" si="34"/>
        <v>108696</v>
      </c>
      <c r="O82" s="326">
        <f t="shared" si="34"/>
        <v>0</v>
      </c>
      <c r="P82" s="339">
        <f t="shared" si="25"/>
        <v>4401867</v>
      </c>
      <c r="Q82" s="335"/>
      <c r="R82" s="335"/>
      <c r="S82" s="335"/>
      <c r="T82" s="335"/>
      <c r="U82" s="335"/>
      <c r="V82" s="32"/>
      <c r="W82" s="44"/>
      <c r="X82" s="13"/>
      <c r="Y82" s="13"/>
      <c r="Z82" s="13"/>
      <c r="AA82" s="356"/>
      <c r="AB82" s="13"/>
      <c r="AC82" s="18"/>
    </row>
    <row r="83" spans="1:29">
      <c r="A83" s="436" t="s">
        <v>501</v>
      </c>
      <c r="B83" s="670">
        <f>ROUND(B14/B15*B13,8)</f>
        <v>1</v>
      </c>
      <c r="C83" s="670">
        <f t="shared" ref="C83:O83" si="35">ROUND(C14/C15*C13,8)</f>
        <v>0.9</v>
      </c>
      <c r="D83" s="670">
        <f t="shared" si="35"/>
        <v>0.78260870000000005</v>
      </c>
      <c r="E83" s="670">
        <f t="shared" si="35"/>
        <v>1</v>
      </c>
      <c r="F83" s="670">
        <f t="shared" si="35"/>
        <v>0.8</v>
      </c>
      <c r="G83" s="670">
        <f t="shared" si="35"/>
        <v>1</v>
      </c>
      <c r="H83" s="670">
        <f t="shared" si="35"/>
        <v>0.5</v>
      </c>
      <c r="I83" s="670">
        <f t="shared" si="35"/>
        <v>0.32608695999999998</v>
      </c>
      <c r="J83" s="671">
        <f t="shared" si="35"/>
        <v>7.8260869999999996E-2</v>
      </c>
      <c r="K83" s="670">
        <f t="shared" si="35"/>
        <v>1</v>
      </c>
      <c r="L83" s="670">
        <f t="shared" si="35"/>
        <v>1</v>
      </c>
      <c r="M83" s="670">
        <f t="shared" si="35"/>
        <v>1</v>
      </c>
      <c r="N83" s="670">
        <f t="shared" si="35"/>
        <v>1</v>
      </c>
      <c r="O83" s="670">
        <f t="shared" si="35"/>
        <v>1</v>
      </c>
      <c r="P83" s="339"/>
      <c r="Q83" s="341"/>
      <c r="R83" s="341"/>
      <c r="S83" s="341"/>
      <c r="T83" s="341"/>
      <c r="U83" s="341"/>
      <c r="V83" s="32"/>
      <c r="W83" s="44"/>
      <c r="X83" s="13"/>
      <c r="Y83" s="13"/>
      <c r="Z83" s="13"/>
      <c r="AA83" s="356"/>
      <c r="AB83" s="13"/>
      <c r="AC83" s="18"/>
    </row>
    <row r="84" spans="1:29">
      <c r="A84" s="436" t="s">
        <v>502</v>
      </c>
      <c r="B84" s="631">
        <f>ROUND((B14-B128)*B13/261,8)</f>
        <v>8.8122610000000004E-2</v>
      </c>
      <c r="C84" s="631">
        <f>ROUND((C14-C128)*C13/261,8)</f>
        <v>7.9310339999999993E-2</v>
      </c>
      <c r="D84" s="631">
        <f t="shared" ref="D84:O84" si="36">ROUND((D14-D128)*D13/261,8)</f>
        <v>6.8965520000000002E-2</v>
      </c>
      <c r="E84" s="631">
        <f t="shared" si="36"/>
        <v>8.8122610000000004E-2</v>
      </c>
      <c r="F84" s="631">
        <f t="shared" si="36"/>
        <v>7.0498080000000005E-2</v>
      </c>
      <c r="G84" s="631">
        <f t="shared" si="36"/>
        <v>8.8122610000000004E-2</v>
      </c>
      <c r="H84" s="631">
        <f t="shared" si="36"/>
        <v>4.4061299999999998E-2</v>
      </c>
      <c r="I84" s="631">
        <f t="shared" si="36"/>
        <v>2.8735630000000002E-2</v>
      </c>
      <c r="J84" s="632">
        <f t="shared" si="36"/>
        <v>6.8965500000000004E-3</v>
      </c>
      <c r="K84" s="631">
        <f t="shared" si="36"/>
        <v>8.8122610000000004E-2</v>
      </c>
      <c r="L84" s="631">
        <f t="shared" si="36"/>
        <v>8.8122610000000004E-2</v>
      </c>
      <c r="M84" s="631">
        <f t="shared" si="36"/>
        <v>8.8122610000000004E-2</v>
      </c>
      <c r="N84" s="631">
        <f t="shared" si="36"/>
        <v>8.8122610000000004E-2</v>
      </c>
      <c r="O84" s="631">
        <f t="shared" si="36"/>
        <v>8.8122610000000004E-2</v>
      </c>
      <c r="P84" s="339"/>
      <c r="Q84" s="341"/>
      <c r="R84" s="341"/>
      <c r="S84" s="341"/>
      <c r="T84" s="341"/>
      <c r="U84" s="341"/>
      <c r="V84" s="42"/>
      <c r="W84" s="43"/>
      <c r="X84" s="13"/>
      <c r="Y84" s="13"/>
      <c r="Z84" s="61"/>
      <c r="AA84" s="356"/>
      <c r="AB84" s="13"/>
      <c r="AC84" s="18"/>
    </row>
    <row r="85" spans="1:29">
      <c r="A85" s="436" t="s">
        <v>503</v>
      </c>
      <c r="B85" s="7">
        <f>ROUND(B130/B15*100%,7)</f>
        <v>0</v>
      </c>
      <c r="C85" s="7">
        <f t="shared" ref="C85:O85" si="37">C130/C15*100%</f>
        <v>0</v>
      </c>
      <c r="D85" s="7">
        <f t="shared" si="37"/>
        <v>0</v>
      </c>
      <c r="E85" s="7">
        <f t="shared" si="37"/>
        <v>0</v>
      </c>
      <c r="F85" s="7">
        <f t="shared" si="37"/>
        <v>0</v>
      </c>
      <c r="G85" s="7">
        <f t="shared" si="37"/>
        <v>0</v>
      </c>
      <c r="H85" s="7">
        <f t="shared" si="37"/>
        <v>0</v>
      </c>
      <c r="I85" s="7">
        <f t="shared" si="37"/>
        <v>0</v>
      </c>
      <c r="J85" s="435">
        <f t="shared" si="37"/>
        <v>0</v>
      </c>
      <c r="K85" s="7">
        <f t="shared" si="37"/>
        <v>0</v>
      </c>
      <c r="L85" s="7">
        <f t="shared" si="37"/>
        <v>0</v>
      </c>
      <c r="M85" s="7">
        <f t="shared" si="37"/>
        <v>0</v>
      </c>
      <c r="N85" s="7">
        <f t="shared" si="37"/>
        <v>0</v>
      </c>
      <c r="O85" s="7">
        <f t="shared" si="37"/>
        <v>0</v>
      </c>
      <c r="P85" s="339"/>
      <c r="Q85" s="341"/>
      <c r="R85" s="341"/>
      <c r="S85" s="341"/>
      <c r="T85" s="341"/>
      <c r="U85" s="341"/>
      <c r="V85" s="24" t="s">
        <v>57</v>
      </c>
      <c r="W85" s="37" t="s">
        <v>67</v>
      </c>
      <c r="X85" s="37" t="s">
        <v>69</v>
      </c>
      <c r="Y85" s="37" t="s">
        <v>70</v>
      </c>
      <c r="Z85" s="37" t="s">
        <v>660</v>
      </c>
      <c r="AA85" s="357" t="s">
        <v>661</v>
      </c>
      <c r="AB85" s="37"/>
      <c r="AC85" s="38"/>
    </row>
    <row r="86" spans="1:29">
      <c r="A86" s="436" t="s">
        <v>1237</v>
      </c>
      <c r="B86" s="631">
        <f t="shared" ref="B86:O86" si="38">ROUND(B15/23*B13,7)</f>
        <v>1</v>
      </c>
      <c r="C86" s="631">
        <f t="shared" si="38"/>
        <v>0.9</v>
      </c>
      <c r="D86" s="631">
        <f t="shared" si="38"/>
        <v>1</v>
      </c>
      <c r="E86" s="631">
        <f t="shared" si="38"/>
        <v>1</v>
      </c>
      <c r="F86" s="631">
        <f t="shared" si="38"/>
        <v>0.8</v>
      </c>
      <c r="G86" s="631">
        <f t="shared" si="38"/>
        <v>1</v>
      </c>
      <c r="H86" s="631">
        <f t="shared" si="38"/>
        <v>0.5</v>
      </c>
      <c r="I86" s="631">
        <f t="shared" si="38"/>
        <v>0.75</v>
      </c>
      <c r="J86" s="632">
        <f t="shared" si="38"/>
        <v>0.6</v>
      </c>
      <c r="K86" s="631">
        <f t="shared" si="38"/>
        <v>1</v>
      </c>
      <c r="L86" s="631">
        <f t="shared" si="38"/>
        <v>1</v>
      </c>
      <c r="M86" s="631">
        <f t="shared" si="38"/>
        <v>1</v>
      </c>
      <c r="N86" s="631">
        <f t="shared" si="38"/>
        <v>1</v>
      </c>
      <c r="O86" s="631">
        <f t="shared" si="38"/>
        <v>1</v>
      </c>
      <c r="P86" s="339"/>
      <c r="Q86" s="341"/>
      <c r="R86" s="341"/>
      <c r="S86" s="341"/>
      <c r="T86" s="341"/>
      <c r="U86" s="341"/>
      <c r="V86" s="49"/>
      <c r="W86" s="39"/>
      <c r="X86" s="348"/>
      <c r="Y86" s="348"/>
      <c r="Z86" s="326"/>
      <c r="AA86" s="7"/>
      <c r="AB86" s="7"/>
      <c r="AC86" s="12"/>
    </row>
    <row r="87" spans="1:29">
      <c r="A87" s="408" t="s">
        <v>492</v>
      </c>
      <c r="B87" s="325">
        <f>ROUND(AA23*B16/365,0)</f>
        <v>679452</v>
      </c>
      <c r="C87" s="326">
        <f>ROUND(AA24*C16/365,0)</f>
        <v>679452</v>
      </c>
      <c r="E87" s="326">
        <f>ROUND(AA25*E16/365,0)</f>
        <v>679452</v>
      </c>
      <c r="F87" s="326">
        <f>ROUND(AA26*F16/365,0)</f>
        <v>679452</v>
      </c>
      <c r="G87" s="326"/>
      <c r="H87" s="326">
        <f>ROUND(AA27*G16/365,0)</f>
        <v>679452</v>
      </c>
      <c r="I87" s="326"/>
      <c r="J87" s="432"/>
      <c r="K87" s="334"/>
      <c r="L87" s="334"/>
      <c r="M87" s="334"/>
      <c r="N87" s="334"/>
      <c r="O87" s="334"/>
      <c r="P87" s="339">
        <f t="shared" si="25"/>
        <v>3397260</v>
      </c>
      <c r="Q87" s="341"/>
      <c r="R87" s="341"/>
      <c r="S87" s="341"/>
      <c r="T87" s="341"/>
      <c r="U87" s="341"/>
      <c r="V87" s="32"/>
      <c r="W87" s="44"/>
      <c r="X87" s="13"/>
      <c r="Y87" s="13"/>
      <c r="Z87" s="13"/>
      <c r="AA87" s="13"/>
      <c r="AB87" s="13"/>
      <c r="AC87" s="18"/>
    </row>
    <row r="88" spans="1:29">
      <c r="A88" s="405" t="s">
        <v>534</v>
      </c>
      <c r="B88" s="325"/>
      <c r="C88" s="326"/>
      <c r="E88" s="326"/>
      <c r="F88" s="326"/>
      <c r="G88" s="326"/>
      <c r="H88" s="326">
        <f>ROUND(AA28*G16/365,0)</f>
        <v>594521</v>
      </c>
      <c r="I88" s="326"/>
      <c r="J88" s="431"/>
      <c r="K88" s="326"/>
      <c r="L88" s="326"/>
      <c r="M88" s="326"/>
      <c r="N88" s="326"/>
      <c r="O88" s="326"/>
      <c r="P88" s="339">
        <f t="shared" si="25"/>
        <v>594521</v>
      </c>
      <c r="Q88" s="373"/>
      <c r="R88" s="373"/>
      <c r="S88" s="373"/>
      <c r="T88" s="373"/>
      <c r="U88" s="373"/>
      <c r="V88" s="32"/>
      <c r="W88" s="44"/>
      <c r="X88" s="13"/>
      <c r="Y88" s="13"/>
      <c r="Z88" s="13"/>
      <c r="AA88" s="13"/>
      <c r="AB88" s="13"/>
      <c r="AC88" s="18"/>
    </row>
    <row r="89" spans="1:29">
      <c r="A89" s="405"/>
      <c r="B89" s="325"/>
      <c r="C89" s="326"/>
      <c r="D89" s="326"/>
      <c r="E89" s="334"/>
      <c r="F89" s="326"/>
      <c r="G89" s="326"/>
      <c r="H89" s="326"/>
      <c r="I89" s="326"/>
      <c r="J89" s="432"/>
      <c r="K89" s="334"/>
      <c r="L89" s="334"/>
      <c r="M89" s="334"/>
      <c r="N89" s="334"/>
      <c r="O89" s="395"/>
      <c r="P89" s="340"/>
      <c r="Q89" s="341"/>
      <c r="R89" s="341"/>
      <c r="S89" s="341"/>
      <c r="T89" s="341"/>
      <c r="U89" s="341"/>
      <c r="V89" s="32"/>
      <c r="W89" s="44"/>
      <c r="X89" s="13"/>
      <c r="Y89" s="13"/>
      <c r="Z89" s="13"/>
      <c r="AA89" s="13"/>
      <c r="AB89" s="13"/>
      <c r="AC89" s="18"/>
    </row>
    <row r="90" spans="1:29">
      <c r="A90" s="436" t="s">
        <v>576</v>
      </c>
      <c r="B90" s="326">
        <f t="shared" ref="B90:O90" si="39">SUM(B24:B36)</f>
        <v>16800000</v>
      </c>
      <c r="C90" s="326">
        <f t="shared" si="39"/>
        <v>15192000</v>
      </c>
      <c r="D90" s="326">
        <f t="shared" si="39"/>
        <v>18101738</v>
      </c>
      <c r="E90" s="326">
        <f t="shared" si="39"/>
        <v>13800000</v>
      </c>
      <c r="F90" s="326">
        <f t="shared" si="39"/>
        <v>15040000</v>
      </c>
      <c r="G90" s="326">
        <f t="shared" si="39"/>
        <v>23205000</v>
      </c>
      <c r="H90" s="326">
        <f t="shared" si="39"/>
        <v>78316875</v>
      </c>
      <c r="I90" s="326">
        <f t="shared" si="39"/>
        <v>29775546</v>
      </c>
      <c r="J90" s="431">
        <f t="shared" si="39"/>
        <v>5086957</v>
      </c>
      <c r="K90" s="326">
        <f t="shared" si="39"/>
        <v>11130000</v>
      </c>
      <c r="L90" s="326">
        <f t="shared" si="39"/>
        <v>90000000</v>
      </c>
      <c r="M90" s="326">
        <f t="shared" si="39"/>
        <v>7500000</v>
      </c>
      <c r="N90" s="326">
        <f t="shared" si="39"/>
        <v>9000000</v>
      </c>
      <c r="O90" s="326">
        <f t="shared" si="39"/>
        <v>4000000</v>
      </c>
      <c r="P90" s="339">
        <f t="shared" si="25"/>
        <v>331861159</v>
      </c>
      <c r="Q90" s="342"/>
      <c r="R90" s="342"/>
      <c r="S90" s="342"/>
      <c r="T90" s="342"/>
      <c r="U90" s="342"/>
      <c r="V90" s="32"/>
      <c r="W90" s="44"/>
      <c r="X90" s="13"/>
      <c r="Y90" s="13"/>
      <c r="Z90" s="13"/>
      <c r="AA90" s="13"/>
      <c r="AB90" s="13"/>
      <c r="AC90" s="18"/>
    </row>
    <row r="91" spans="1:29">
      <c r="A91" s="436" t="s">
        <v>1198</v>
      </c>
      <c r="B91" s="326">
        <f t="shared" ref="B91:O91" si="40">SUM(B24:B32,B39:B40)</f>
        <v>15201270</v>
      </c>
      <c r="C91" s="326">
        <f t="shared" si="40"/>
        <v>13277287</v>
      </c>
      <c r="D91" s="326">
        <f t="shared" si="40"/>
        <v>16121738</v>
      </c>
      <c r="E91" s="326">
        <f t="shared" si="40"/>
        <v>12301906</v>
      </c>
      <c r="F91" s="326">
        <f t="shared" si="40"/>
        <v>13600000</v>
      </c>
      <c r="G91" s="326">
        <f t="shared" si="40"/>
        <v>23205000</v>
      </c>
      <c r="H91" s="326">
        <f t="shared" si="40"/>
        <v>93200659</v>
      </c>
      <c r="I91" s="326">
        <f t="shared" si="40"/>
        <v>43698546</v>
      </c>
      <c r="J91" s="431">
        <f t="shared" si="40"/>
        <v>5086957</v>
      </c>
      <c r="K91" s="326">
        <f t="shared" si="40"/>
        <v>10400000</v>
      </c>
      <c r="L91" s="326">
        <f t="shared" si="40"/>
        <v>90000000</v>
      </c>
      <c r="M91" s="326">
        <f t="shared" si="40"/>
        <v>7500000</v>
      </c>
      <c r="N91" s="326">
        <f t="shared" si="40"/>
        <v>9000000</v>
      </c>
      <c r="O91" s="326">
        <f t="shared" si="40"/>
        <v>4000000</v>
      </c>
      <c r="P91" s="339">
        <f t="shared" si="25"/>
        <v>351506406</v>
      </c>
      <c r="Q91" s="341"/>
      <c r="R91" s="341"/>
      <c r="S91" s="341"/>
      <c r="T91" s="341"/>
      <c r="U91" s="341"/>
    </row>
    <row r="92" spans="1:29">
      <c r="A92" s="405" t="s">
        <v>578</v>
      </c>
      <c r="B92" s="326">
        <f t="shared" ref="B92:O92" si="41">MIN(IF(OR(B18="A",B18="B"),ROUND(SUM(B118,B120,B121,B123,B124)*B86,0),B135),27800000)</f>
        <v>10000000</v>
      </c>
      <c r="C92" s="326">
        <f t="shared" si="41"/>
        <v>8415000</v>
      </c>
      <c r="D92" s="326">
        <f t="shared" si="41"/>
        <v>12600000</v>
      </c>
      <c r="E92" s="326">
        <f t="shared" si="41"/>
        <v>9000000</v>
      </c>
      <c r="F92" s="326">
        <f t="shared" si="41"/>
        <v>11200000</v>
      </c>
      <c r="G92" s="326">
        <f t="shared" si="41"/>
        <v>0</v>
      </c>
      <c r="H92" s="561">
        <f t="shared" si="41"/>
        <v>27800000</v>
      </c>
      <c r="I92" s="561">
        <f t="shared" si="41"/>
        <v>27800000</v>
      </c>
      <c r="J92" s="431">
        <f t="shared" si="41"/>
        <v>27800000</v>
      </c>
      <c r="K92" s="326">
        <f t="shared" si="41"/>
        <v>10400000</v>
      </c>
      <c r="L92" s="326">
        <f t="shared" si="41"/>
        <v>27800000</v>
      </c>
      <c r="M92" s="326">
        <f t="shared" si="41"/>
        <v>7500000</v>
      </c>
      <c r="N92" s="326">
        <f t="shared" si="41"/>
        <v>9000000</v>
      </c>
      <c r="O92" s="326">
        <f t="shared" si="41"/>
        <v>0</v>
      </c>
      <c r="P92" s="339">
        <f t="shared" si="25"/>
        <v>161515000</v>
      </c>
      <c r="Q92" s="341"/>
      <c r="R92" s="341"/>
      <c r="S92" s="341"/>
      <c r="T92" s="341"/>
      <c r="U92" s="341"/>
      <c r="W92" s="651"/>
      <c r="X92" s="651"/>
    </row>
    <row r="93" spans="1:29">
      <c r="A93" s="405" t="s">
        <v>1200</v>
      </c>
      <c r="B93" s="326">
        <f t="shared" ref="B93:O93" si="42">IF(OR(B18="A",B18="B"),ROUND(SUM(B118,B120,B121,B123,B124)*B86,0),B136)</f>
        <v>10000000</v>
      </c>
      <c r="C93" s="326">
        <f t="shared" si="42"/>
        <v>8415000</v>
      </c>
      <c r="D93" s="326">
        <f t="shared" si="42"/>
        <v>12600000</v>
      </c>
      <c r="E93" s="326">
        <f t="shared" si="42"/>
        <v>9000000</v>
      </c>
      <c r="F93" s="326">
        <f t="shared" si="42"/>
        <v>11200000</v>
      </c>
      <c r="G93" s="326">
        <f t="shared" si="42"/>
        <v>0</v>
      </c>
      <c r="H93" s="561">
        <f t="shared" si="42"/>
        <v>74612500</v>
      </c>
      <c r="I93" s="561">
        <f t="shared" si="42"/>
        <v>69348500</v>
      </c>
      <c r="J93" s="431">
        <f t="shared" si="42"/>
        <v>39000000</v>
      </c>
      <c r="K93" s="326">
        <f t="shared" si="42"/>
        <v>10400000</v>
      </c>
      <c r="L93" s="326">
        <f t="shared" si="42"/>
        <v>90000000</v>
      </c>
      <c r="M93" s="326">
        <f t="shared" si="42"/>
        <v>7500000</v>
      </c>
      <c r="N93" s="326">
        <f t="shared" si="42"/>
        <v>9000000</v>
      </c>
      <c r="O93" s="326">
        <f t="shared" si="42"/>
        <v>0</v>
      </c>
      <c r="P93" s="339">
        <f t="shared" si="25"/>
        <v>312076000</v>
      </c>
      <c r="Q93" s="341"/>
      <c r="R93" s="341"/>
      <c r="S93" s="341"/>
      <c r="T93" s="341"/>
      <c r="U93" s="341"/>
      <c r="W93" s="651"/>
      <c r="X93" s="651"/>
    </row>
    <row r="94" spans="1:29">
      <c r="A94" s="405" t="s">
        <v>580</v>
      </c>
      <c r="B94" s="326">
        <f>IF(OR(B18="A",B18="B"),ROUND(SUM(B134,B120,B121,B124,B125,B126)*B13,0),ROUND(SUM(B134,,B120,B121,B124)*B13,0))</f>
        <v>10300000</v>
      </c>
      <c r="C94" s="326">
        <f t="shared" ref="C94:O94" si="43">IF(OR(C18="A",C18="B"),ROUND(SUM(C134,C120,C121,C124,C125,C126)*C13,0),ROUND(SUM(C134,,C120,C121,C124)*C13,0))</f>
        <v>9342000</v>
      </c>
      <c r="D94" s="326">
        <f>IF(OR(D18="A",D18="B"),ROUND(SUM(D134,D120,D121,D124,D125,D126)*D13*D14/D15,0),ROUND(SUM(D134,,D120,D121,D124)*D13*D14/D15,0))</f>
        <v>10666957</v>
      </c>
      <c r="E94" s="326">
        <f t="shared" si="43"/>
        <v>10800000</v>
      </c>
      <c r="F94" s="326">
        <f t="shared" si="43"/>
        <v>12640000</v>
      </c>
      <c r="G94" s="326">
        <f t="shared" si="43"/>
        <v>0</v>
      </c>
      <c r="H94" s="326">
        <f t="shared" si="43"/>
        <v>72515625</v>
      </c>
      <c r="I94" s="326">
        <f t="shared" si="43"/>
        <v>68483756</v>
      </c>
      <c r="J94" s="431">
        <f t="shared" si="43"/>
        <v>39000000</v>
      </c>
      <c r="K94" s="326">
        <f t="shared" si="43"/>
        <v>11130000</v>
      </c>
      <c r="L94" s="326">
        <f t="shared" si="43"/>
        <v>90000000</v>
      </c>
      <c r="M94" s="326">
        <f t="shared" si="43"/>
        <v>7500000</v>
      </c>
      <c r="N94" s="326">
        <f t="shared" si="43"/>
        <v>9000000</v>
      </c>
      <c r="O94" s="326">
        <f t="shared" si="43"/>
        <v>0</v>
      </c>
      <c r="P94" s="339">
        <f t="shared" si="25"/>
        <v>312378338</v>
      </c>
      <c r="Q94" s="341"/>
      <c r="R94" s="341"/>
      <c r="S94" s="341"/>
      <c r="T94" s="341"/>
      <c r="U94" s="341"/>
    </row>
    <row r="95" spans="1:29">
      <c r="A95" s="405" t="s">
        <v>1191</v>
      </c>
      <c r="B95" s="326">
        <f>B92</f>
        <v>10000000</v>
      </c>
      <c r="C95" s="326">
        <f t="shared" ref="C95:O95" si="44">C92</f>
        <v>8415000</v>
      </c>
      <c r="D95" s="326">
        <f t="shared" si="44"/>
        <v>12600000</v>
      </c>
      <c r="E95" s="326">
        <f t="shared" si="44"/>
        <v>9000000</v>
      </c>
      <c r="F95" s="326">
        <f t="shared" si="44"/>
        <v>11200000</v>
      </c>
      <c r="G95" s="326">
        <f t="shared" si="44"/>
        <v>0</v>
      </c>
      <c r="H95" s="326">
        <f t="shared" si="44"/>
        <v>27800000</v>
      </c>
      <c r="I95" s="326">
        <f t="shared" si="44"/>
        <v>27800000</v>
      </c>
      <c r="J95" s="431">
        <f t="shared" si="44"/>
        <v>27800000</v>
      </c>
      <c r="K95" s="326">
        <f t="shared" si="44"/>
        <v>10400000</v>
      </c>
      <c r="L95" s="326">
        <f t="shared" si="44"/>
        <v>27800000</v>
      </c>
      <c r="M95" s="326">
        <f t="shared" si="44"/>
        <v>7500000</v>
      </c>
      <c r="N95" s="326">
        <f t="shared" si="44"/>
        <v>9000000</v>
      </c>
      <c r="O95" s="326">
        <f t="shared" si="44"/>
        <v>0</v>
      </c>
      <c r="P95" s="339">
        <f t="shared" si="25"/>
        <v>161515000</v>
      </c>
      <c r="Q95" s="341"/>
      <c r="R95" s="341"/>
      <c r="S95" s="341"/>
      <c r="T95" s="341"/>
      <c r="U95" s="341"/>
    </row>
    <row r="96" spans="1:29">
      <c r="A96" s="405" t="s">
        <v>600</v>
      </c>
      <c r="B96" s="326">
        <f t="shared" ref="B96:O96" si="45">SUM(B46:B48)</f>
        <v>1050000</v>
      </c>
      <c r="C96" s="326">
        <f t="shared" si="45"/>
        <v>883575</v>
      </c>
      <c r="D96" s="326">
        <f t="shared" si="45"/>
        <v>315000</v>
      </c>
      <c r="E96" s="326">
        <f t="shared" si="45"/>
        <v>945000</v>
      </c>
      <c r="F96" s="326">
        <f t="shared" si="45"/>
        <v>0</v>
      </c>
      <c r="G96" s="326">
        <f t="shared" si="45"/>
        <v>0</v>
      </c>
      <c r="H96" s="326">
        <f t="shared" si="45"/>
        <v>417000</v>
      </c>
      <c r="I96" s="326">
        <f t="shared" si="45"/>
        <v>0</v>
      </c>
      <c r="J96" s="431">
        <f t="shared" si="45"/>
        <v>0</v>
      </c>
      <c r="K96" s="326">
        <f t="shared" si="45"/>
        <v>0</v>
      </c>
      <c r="L96" s="326">
        <f t="shared" si="45"/>
        <v>3477000</v>
      </c>
      <c r="M96" s="326">
        <f t="shared" si="45"/>
        <v>0</v>
      </c>
      <c r="N96" s="326">
        <f t="shared" si="45"/>
        <v>0</v>
      </c>
      <c r="O96" s="326">
        <f t="shared" si="45"/>
        <v>0</v>
      </c>
      <c r="P96" s="339">
        <f t="shared" si="25"/>
        <v>7087575</v>
      </c>
      <c r="Q96" s="341"/>
      <c r="R96" s="341"/>
      <c r="S96" s="341"/>
      <c r="T96" s="341"/>
      <c r="U96" s="341"/>
    </row>
    <row r="97" spans="1:21">
      <c r="A97" s="436" t="s">
        <v>1199</v>
      </c>
      <c r="B97" s="326">
        <f t="shared" ref="B97:O97" si="46">IF(OR(B18="A",B18="C"),B91-B96,B91)</f>
        <v>14151270</v>
      </c>
      <c r="C97" s="326">
        <f t="shared" si="46"/>
        <v>12393712</v>
      </c>
      <c r="D97" s="326">
        <f t="shared" si="46"/>
        <v>15806738</v>
      </c>
      <c r="E97" s="326">
        <f t="shared" si="46"/>
        <v>12301906</v>
      </c>
      <c r="F97" s="326">
        <f t="shared" si="46"/>
        <v>13600000</v>
      </c>
      <c r="G97" s="326">
        <f t="shared" si="46"/>
        <v>23205000</v>
      </c>
      <c r="H97" s="326">
        <f t="shared" si="46"/>
        <v>93200659</v>
      </c>
      <c r="I97" s="326">
        <f t="shared" si="46"/>
        <v>43698546</v>
      </c>
      <c r="J97" s="431">
        <f t="shared" si="46"/>
        <v>5086957</v>
      </c>
      <c r="K97" s="326">
        <f t="shared" si="46"/>
        <v>10400000</v>
      </c>
      <c r="L97" s="326">
        <f t="shared" si="46"/>
        <v>86523000</v>
      </c>
      <c r="M97" s="326">
        <f t="shared" si="46"/>
        <v>7500000</v>
      </c>
      <c r="N97" s="326">
        <f t="shared" si="46"/>
        <v>9000000</v>
      </c>
      <c r="O97" s="326">
        <f t="shared" si="46"/>
        <v>4000000</v>
      </c>
      <c r="P97" s="339">
        <f t="shared" si="25"/>
        <v>345780831</v>
      </c>
      <c r="Q97" s="341"/>
      <c r="R97" s="341"/>
      <c r="S97" s="341"/>
      <c r="T97" s="341"/>
      <c r="U97" s="341"/>
    </row>
    <row r="98" spans="1:21">
      <c r="A98" s="436" t="s">
        <v>849</v>
      </c>
      <c r="B98" s="326">
        <f t="shared" ref="B98:O98" si="47">MAX(B97-B21-B20,0)</f>
        <v>1551270</v>
      </c>
      <c r="C98" s="326">
        <f t="shared" si="47"/>
        <v>0</v>
      </c>
      <c r="D98" s="326">
        <f t="shared" si="47"/>
        <v>3206738</v>
      </c>
      <c r="E98" s="326">
        <f t="shared" si="47"/>
        <v>12301906</v>
      </c>
      <c r="F98" s="326">
        <f t="shared" si="47"/>
        <v>13600000</v>
      </c>
      <c r="G98" s="326">
        <f t="shared" si="47"/>
        <v>14205000</v>
      </c>
      <c r="H98" s="326">
        <f t="shared" si="47"/>
        <v>93200659</v>
      </c>
      <c r="I98" s="326">
        <f t="shared" si="47"/>
        <v>43698546</v>
      </c>
      <c r="J98" s="431">
        <f t="shared" si="47"/>
        <v>0</v>
      </c>
      <c r="K98" s="326">
        <f t="shared" si="47"/>
        <v>1400000</v>
      </c>
      <c r="L98" s="326">
        <f t="shared" si="47"/>
        <v>77523000</v>
      </c>
      <c r="M98" s="326">
        <f t="shared" si="47"/>
        <v>0</v>
      </c>
      <c r="N98" s="326">
        <f t="shared" si="47"/>
        <v>0</v>
      </c>
      <c r="O98" s="326">
        <f t="shared" si="47"/>
        <v>4000000</v>
      </c>
      <c r="P98" s="339">
        <f t="shared" si="25"/>
        <v>264687119</v>
      </c>
      <c r="Q98" s="341"/>
      <c r="R98" s="341"/>
      <c r="S98" s="341"/>
      <c r="T98" s="341"/>
      <c r="U98" s="341"/>
    </row>
    <row r="99" spans="1:21">
      <c r="A99" s="405" t="s">
        <v>485</v>
      </c>
      <c r="B99" s="326">
        <f>IF(OR(B18="A",B18="C"),ROUND(MAX(B98*{5;10;15;20;25;30;35}%-{0;0.25;0.75;1.65;3.25;5.85;9.85}*1000000,0),0),IF(B18="B",IF(B91&lt;2000000,0,ROUND(B91*10%,0)),ROUND(B91*20%,0)))</f>
        <v>77564</v>
      </c>
      <c r="C99" s="326">
        <f>IF(OR(C18="A",C18="C"),ROUND(MAX(C98*{5;10;15;20;25;30;35}%-{0;0.25;0.75;1.65;3.25;5.85;9.85}*1000000,0),0),IF(C18="B",IF(C91&lt;2000000,0,ROUND(C91*10%,0)),ROUND(C91*20%,0)))</f>
        <v>0</v>
      </c>
      <c r="D99" s="326">
        <f>IF(OR(D18="A",D18="C"),ROUND(MAX(D98*{5;10;15;20;25;30;35}%-{0;0.25;0.75;1.65;3.25;5.85;9.85}*1000000,0),0),IF(D18="B",IF(D91&lt;2000000,0,ROUND(D91*10%,0)),ROUND(D91*20%,0)))</f>
        <v>160337</v>
      </c>
      <c r="E99" s="326">
        <f>IF(OR(E18="A",E18="C"),ROUND(MAX(E98*{5;10;15;20;25;30;35}%-{0;0.25;0.75;1.65;3.25;5.85;9.85}*1000000,0),0),IF(E18="B",IF(E91&lt;2000000,0,ROUND(E91*10%,0)),ROUND(E91*20%,0)))</f>
        <v>1230191</v>
      </c>
      <c r="F99" s="326">
        <f>IF(OR(F18="A",F18="C"),ROUND(MAX(F98*{5;10;15;20;25;30;35}%-{0;0.25;0.75;1.65;3.25;5.85;9.85}*1000000,0),0),IF(F18="B",IF(F91&lt;2000000,0,ROUND(F91*10%,0)),ROUND(F91*20%,0)))</f>
        <v>1360000</v>
      </c>
      <c r="G99" s="326">
        <f>IF(OR(G18="A",G18="C"),ROUND(MAX(G98*{5;10;15;20;25;30;35}%-{0;0.25;0.75;1.65;3.25;5.85;9.85}*1000000,0),0),IF(G18="B",IF(G91&lt;2000000,0,ROUND(G91*10%,0)),ROUND(G91*20%,0)))</f>
        <v>1380750</v>
      </c>
      <c r="H99" s="326">
        <f>IF(OR(H18="A",H18="C"),ROUND(MAX(H98*{5;10;15;20;25;30;35}%-{0;0.25;0.75;1.65;3.25;5.85;9.85}*1000000,0),0),IF(H18="B",IF(H91&lt;2000000,0,ROUND(H91*10%,0)),ROUND(H91*20%,0)))</f>
        <v>18640132</v>
      </c>
      <c r="I99" s="326">
        <f>IF(OR(I18="A",I18="C"),ROUND(MAX(I98*{5;10;15;20;25;30;35}%-{0;0.25;0.75;1.65;3.25;5.85;9.85}*1000000,0),0),IF(I18="B",IF(I91&lt;2000000,0,ROUND(I91*10%,0)),ROUND(I91*20%,0)))</f>
        <v>8739709</v>
      </c>
      <c r="J99" s="431">
        <f>IF(OR(J18="A",J18="C"),ROUND(MAX(J98*{5;10;15;20;25;30;35}%-{0;0.25;0.75;1.65;3.25;5.85;9.85}*1000000,0),0),IF(J18="B",IF(J91&lt;2000000,0,ROUND(J91*10%,0)),ROUND(J91*20%,0)))</f>
        <v>0</v>
      </c>
      <c r="K99" s="326">
        <f>IF(OR(K18="A",K18="C"),ROUND(MAX(K98*{5;10;15;20;25;30;35}%-{0;0.25;0.75;1.65;3.25;5.85;9.85}*1000000,0),0),IF(K18="B",IF(K91&lt;2000000,0,ROUND(K91*10%,0)),ROUND(K91*20%,0)))</f>
        <v>70000</v>
      </c>
      <c r="L99" s="326">
        <f>IF(OR(L18="A",L18="C"),ROUND(MAX(L98*{5;10;15;20;25;30;35}%-{0;0.25;0.75;1.65;3.25;5.85;9.85}*1000000,0),0),IF(L18="B",IF(L91&lt;2000000,0,ROUND(L91*10%,0)),ROUND(L91*20%,0)))</f>
        <v>17406900</v>
      </c>
      <c r="M99" s="326">
        <f>IF(OR(M18="A",M18="C"),ROUND(MAX(M98*{5;10;15;20;25;30;35}%-{0;0.25;0.75;1.65;3.25;5.85;9.85}*1000000,0),0),IF(M18="B",IF(M91&lt;2000000,0,ROUND(M91*10%,0)),ROUND(M91*20%,0)))</f>
        <v>0</v>
      </c>
      <c r="N99" s="326">
        <f>IF(OR(N18="A",N18="C"),ROUND(MAX(N98*{5;10;15;20;25;30;35}%-{0;0.25;0.75;1.65;3.25;5.85;9.85}*1000000,0),0),IF(N18="B",IF(N91&lt;2000000,0,ROUND(N91*10%,0)),ROUND(N91*20%,0)))</f>
        <v>0</v>
      </c>
      <c r="O99" s="326">
        <f>IF(OR(O18="A",O18="C"),ROUND(MAX(O98*{5;10;15;20;25;30;35}%-{0;0.25;0.75;1.65;3.25;5.85;9.85}*1000000,0),0),IF(O18="B",IF(O91&lt;2000000,0,ROUND(O91*10%,0)),ROUND(O91*20%,0)))</f>
        <v>400000</v>
      </c>
      <c r="P99" s="339">
        <f t="shared" si="25"/>
        <v>49465583</v>
      </c>
      <c r="Q99" s="341"/>
      <c r="R99" s="341"/>
      <c r="S99" s="341"/>
      <c r="T99" s="341"/>
      <c r="U99" s="341"/>
    </row>
    <row r="100" spans="1:21">
      <c r="A100" s="436" t="s">
        <v>861</v>
      </c>
      <c r="B100" s="326">
        <f>B91</f>
        <v>15201270</v>
      </c>
      <c r="C100" s="326">
        <f t="shared" ref="C100:O100" si="48">C91</f>
        <v>13277287</v>
      </c>
      <c r="D100" s="326">
        <f t="shared" si="48"/>
        <v>16121738</v>
      </c>
      <c r="E100" s="326">
        <f t="shared" si="48"/>
        <v>12301906</v>
      </c>
      <c r="F100" s="326">
        <f t="shared" si="48"/>
        <v>13600000</v>
      </c>
      <c r="G100" s="326">
        <f t="shared" si="48"/>
        <v>23205000</v>
      </c>
      <c r="H100" s="326">
        <f t="shared" si="48"/>
        <v>93200659</v>
      </c>
      <c r="I100" s="326">
        <f t="shared" si="48"/>
        <v>43698546</v>
      </c>
      <c r="J100" s="431">
        <f t="shared" si="48"/>
        <v>5086957</v>
      </c>
      <c r="K100" s="326">
        <f t="shared" si="48"/>
        <v>10400000</v>
      </c>
      <c r="L100" s="326">
        <f t="shared" si="48"/>
        <v>90000000</v>
      </c>
      <c r="M100" s="326">
        <f t="shared" si="48"/>
        <v>7500000</v>
      </c>
      <c r="N100" s="326">
        <f t="shared" si="48"/>
        <v>9000000</v>
      </c>
      <c r="O100" s="326">
        <f t="shared" si="48"/>
        <v>4000000</v>
      </c>
      <c r="P100" s="339">
        <f t="shared" si="25"/>
        <v>351506406</v>
      </c>
      <c r="Q100" s="341"/>
      <c r="R100" s="341"/>
      <c r="S100" s="341"/>
      <c r="T100" s="341"/>
      <c r="U100" s="341"/>
    </row>
    <row r="101" spans="1:21">
      <c r="A101" s="436" t="s">
        <v>486</v>
      </c>
      <c r="B101" s="326">
        <f t="shared" ref="B101:O101" si="49">B99</f>
        <v>77564</v>
      </c>
      <c r="C101" s="326">
        <f t="shared" si="49"/>
        <v>0</v>
      </c>
      <c r="D101" s="326">
        <f t="shared" si="49"/>
        <v>160337</v>
      </c>
      <c r="E101" s="326">
        <f t="shared" si="49"/>
        <v>1230191</v>
      </c>
      <c r="F101" s="326">
        <f t="shared" si="49"/>
        <v>1360000</v>
      </c>
      <c r="G101" s="326">
        <f t="shared" si="49"/>
        <v>1380750</v>
      </c>
      <c r="H101" s="326">
        <f t="shared" si="49"/>
        <v>18640132</v>
      </c>
      <c r="I101" s="326">
        <f t="shared" si="49"/>
        <v>8739709</v>
      </c>
      <c r="J101" s="431">
        <f t="shared" si="49"/>
        <v>0</v>
      </c>
      <c r="K101" s="326">
        <f t="shared" si="49"/>
        <v>70000</v>
      </c>
      <c r="L101" s="326">
        <f t="shared" si="49"/>
        <v>17406900</v>
      </c>
      <c r="M101" s="326">
        <f t="shared" si="49"/>
        <v>0</v>
      </c>
      <c r="N101" s="326">
        <f t="shared" si="49"/>
        <v>0</v>
      </c>
      <c r="O101" s="326">
        <f t="shared" si="49"/>
        <v>400000</v>
      </c>
      <c r="P101" s="339">
        <f t="shared" si="25"/>
        <v>49465583</v>
      </c>
      <c r="Q101" s="341"/>
      <c r="R101" s="341"/>
      <c r="S101" s="341"/>
      <c r="T101" s="341"/>
      <c r="U101" s="341"/>
    </row>
    <row r="102" spans="1:21">
      <c r="A102" s="436" t="s">
        <v>487</v>
      </c>
      <c r="B102" s="326">
        <f t="shared" ref="B102:O102" si="50">B96</f>
        <v>1050000</v>
      </c>
      <c r="C102" s="326">
        <f t="shared" si="50"/>
        <v>883575</v>
      </c>
      <c r="D102" s="326">
        <f t="shared" si="50"/>
        <v>315000</v>
      </c>
      <c r="E102" s="326">
        <f t="shared" si="50"/>
        <v>945000</v>
      </c>
      <c r="F102" s="326">
        <f t="shared" si="50"/>
        <v>0</v>
      </c>
      <c r="G102" s="326">
        <f t="shared" si="50"/>
        <v>0</v>
      </c>
      <c r="H102" s="326">
        <f t="shared" si="50"/>
        <v>417000</v>
      </c>
      <c r="I102" s="326">
        <f t="shared" si="50"/>
        <v>0</v>
      </c>
      <c r="J102" s="431">
        <f t="shared" si="50"/>
        <v>0</v>
      </c>
      <c r="K102" s="326">
        <f t="shared" si="50"/>
        <v>0</v>
      </c>
      <c r="L102" s="326">
        <f t="shared" si="50"/>
        <v>3477000</v>
      </c>
      <c r="M102" s="326">
        <f t="shared" si="50"/>
        <v>0</v>
      </c>
      <c r="N102" s="326">
        <f t="shared" si="50"/>
        <v>0</v>
      </c>
      <c r="O102" s="326">
        <f t="shared" si="50"/>
        <v>0</v>
      </c>
      <c r="P102" s="339">
        <f t="shared" si="25"/>
        <v>7087575</v>
      </c>
      <c r="Q102" s="341"/>
      <c r="R102" s="341"/>
      <c r="S102" s="341"/>
      <c r="T102" s="341"/>
      <c r="U102" s="341"/>
    </row>
    <row r="103" spans="1:21">
      <c r="A103" s="405"/>
      <c r="B103" s="14"/>
      <c r="C103" s="455"/>
      <c r="D103" s="7"/>
      <c r="E103" s="316"/>
      <c r="F103" s="7"/>
      <c r="G103" s="7"/>
      <c r="H103" s="7"/>
      <c r="I103" s="7"/>
      <c r="J103" s="429"/>
      <c r="K103" s="316"/>
      <c r="L103" s="316"/>
      <c r="M103" s="316"/>
      <c r="N103" s="316"/>
      <c r="O103" s="316"/>
      <c r="P103" s="339"/>
      <c r="Q103" s="341"/>
      <c r="R103" s="341"/>
      <c r="S103" s="341"/>
      <c r="T103" s="341"/>
      <c r="U103" s="341"/>
    </row>
    <row r="104" spans="1:21" ht="15.6">
      <c r="A104" s="404" t="s">
        <v>775</v>
      </c>
      <c r="B104" s="14"/>
      <c r="C104" s="7"/>
      <c r="D104" s="7"/>
      <c r="E104" s="316"/>
      <c r="F104" s="7"/>
      <c r="G104" s="7"/>
      <c r="H104" s="7"/>
      <c r="I104" s="7"/>
      <c r="J104" s="429"/>
      <c r="K104" s="316"/>
      <c r="L104" s="316"/>
      <c r="M104" s="316"/>
      <c r="N104" s="316"/>
      <c r="O104" s="316"/>
      <c r="P104" s="339"/>
      <c r="Q104" s="341"/>
      <c r="R104" s="341"/>
      <c r="S104" s="341"/>
      <c r="T104" s="341"/>
      <c r="U104" s="341"/>
    </row>
    <row r="105" spans="1:21">
      <c r="A105" s="436" t="s">
        <v>431</v>
      </c>
      <c r="B105" s="548">
        <f>'New Hire'!C63</f>
        <v>160</v>
      </c>
      <c r="C105" s="548">
        <f>'New Hire'!D63</f>
        <v>144</v>
      </c>
      <c r="D105" s="548">
        <f>'New Hire'!E63</f>
        <v>156.93</v>
      </c>
      <c r="E105" s="548">
        <f>'New Hire'!F63</f>
        <v>160</v>
      </c>
      <c r="F105" s="548">
        <f>'New Hire'!G63</f>
        <v>128</v>
      </c>
      <c r="G105" s="548">
        <f>'New Hire'!H63</f>
        <v>0</v>
      </c>
      <c r="H105" s="548">
        <f>'New Hire'!I63</f>
        <v>80</v>
      </c>
      <c r="I105" s="548">
        <f>'New Hire'!J63</f>
        <v>0</v>
      </c>
      <c r="J105" s="549">
        <f>'New Hire'!K63</f>
        <v>88.64</v>
      </c>
      <c r="K105" s="548">
        <f>'New Hire'!L63</f>
        <v>160</v>
      </c>
      <c r="L105" s="548">
        <f>'New Hire'!M63</f>
        <v>160</v>
      </c>
      <c r="M105" s="548">
        <f>'New Hire'!N63</f>
        <v>160</v>
      </c>
      <c r="N105" s="548">
        <f>'New Hire'!O63</f>
        <v>160</v>
      </c>
      <c r="O105" s="548">
        <f>'New Hire'!P63</f>
        <v>0</v>
      </c>
      <c r="P105" s="653">
        <f t="shared" si="25"/>
        <v>1468.93</v>
      </c>
      <c r="Q105" s="341"/>
      <c r="R105" s="341"/>
      <c r="S105" s="341"/>
      <c r="T105" s="341"/>
      <c r="U105" s="341"/>
    </row>
    <row r="106" spans="1:21">
      <c r="A106" s="436" t="s">
        <v>432</v>
      </c>
      <c r="B106" s="547">
        <f>'New Hire'!C67</f>
        <v>80</v>
      </c>
      <c r="C106" s="547">
        <f>'New Hire'!D67</f>
        <v>72</v>
      </c>
      <c r="D106" s="547">
        <f>'New Hire'!E67</f>
        <v>78.47</v>
      </c>
      <c r="E106" s="547">
        <f>'New Hire'!F67</f>
        <v>80</v>
      </c>
      <c r="F106" s="547">
        <f>'New Hire'!G67</f>
        <v>64</v>
      </c>
      <c r="G106" s="547">
        <f>'New Hire'!H67</f>
        <v>0</v>
      </c>
      <c r="H106" s="547">
        <f>'New Hire'!I67</f>
        <v>40</v>
      </c>
      <c r="I106" s="548">
        <f>'New Hire'!J67</f>
        <v>0</v>
      </c>
      <c r="J106" s="549">
        <f>'New Hire'!K67</f>
        <v>44.32</v>
      </c>
      <c r="K106" s="548">
        <f>'New Hire'!L67</f>
        <v>80</v>
      </c>
      <c r="L106" s="548">
        <f>'New Hire'!M67</f>
        <v>80</v>
      </c>
      <c r="M106" s="548">
        <f>'New Hire'!N67</f>
        <v>80</v>
      </c>
      <c r="N106" s="548">
        <f>'New Hire'!O67</f>
        <v>80</v>
      </c>
      <c r="O106" s="548">
        <f>'New Hire'!P67</f>
        <v>0</v>
      </c>
      <c r="P106" s="653">
        <f t="shared" si="25"/>
        <v>734.46999999999991</v>
      </c>
      <c r="Q106" s="374"/>
      <c r="R106" s="374"/>
      <c r="S106" s="374"/>
      <c r="T106" s="374"/>
      <c r="U106" s="374"/>
    </row>
    <row r="107" spans="1:21">
      <c r="A107" s="436" t="s">
        <v>433</v>
      </c>
      <c r="B107" s="547">
        <v>0</v>
      </c>
      <c r="C107" s="547">
        <f>AA86</f>
        <v>0</v>
      </c>
      <c r="D107" s="547">
        <v>0</v>
      </c>
      <c r="E107" s="547">
        <v>0</v>
      </c>
      <c r="F107" s="547">
        <v>0</v>
      </c>
      <c r="G107" s="547">
        <v>0</v>
      </c>
      <c r="H107" s="547">
        <v>0</v>
      </c>
      <c r="I107" s="548">
        <v>0</v>
      </c>
      <c r="J107" s="549">
        <v>0</v>
      </c>
      <c r="K107" s="548">
        <v>0</v>
      </c>
      <c r="L107" s="548">
        <v>0</v>
      </c>
      <c r="M107" s="548">
        <v>0</v>
      </c>
      <c r="N107" s="548">
        <v>0</v>
      </c>
      <c r="O107" s="548">
        <v>0</v>
      </c>
      <c r="P107" s="653">
        <f t="shared" si="25"/>
        <v>0</v>
      </c>
      <c r="Q107" s="341"/>
      <c r="R107" s="341"/>
      <c r="S107" s="341"/>
      <c r="T107" s="341"/>
      <c r="U107" s="341"/>
    </row>
    <row r="108" spans="1:21">
      <c r="A108" s="436" t="s">
        <v>434</v>
      </c>
      <c r="B108" s="547">
        <v>0</v>
      </c>
      <c r="C108" s="547">
        <v>0</v>
      </c>
      <c r="D108" s="547">
        <v>0</v>
      </c>
      <c r="E108" s="547">
        <v>0</v>
      </c>
      <c r="F108" s="547">
        <v>0</v>
      </c>
      <c r="G108" s="547">
        <v>0</v>
      </c>
      <c r="H108" s="547">
        <v>0</v>
      </c>
      <c r="I108" s="548">
        <v>0</v>
      </c>
      <c r="J108" s="549">
        <v>0</v>
      </c>
      <c r="K108" s="548">
        <v>0</v>
      </c>
      <c r="L108" s="548">
        <v>0</v>
      </c>
      <c r="M108" s="548">
        <v>0</v>
      </c>
      <c r="N108" s="548">
        <v>0</v>
      </c>
      <c r="O108" s="548">
        <v>0</v>
      </c>
      <c r="P108" s="653">
        <f t="shared" si="25"/>
        <v>0</v>
      </c>
      <c r="Q108" s="341"/>
      <c r="R108" s="341"/>
      <c r="S108" s="341"/>
      <c r="T108" s="341"/>
      <c r="U108" s="341"/>
    </row>
    <row r="109" spans="1:21">
      <c r="A109" s="436" t="s">
        <v>435</v>
      </c>
      <c r="B109" s="547">
        <v>0</v>
      </c>
      <c r="C109" s="547">
        <v>0</v>
      </c>
      <c r="D109" s="547">
        <v>0</v>
      </c>
      <c r="E109" s="547">
        <v>0</v>
      </c>
      <c r="F109" s="547">
        <v>0</v>
      </c>
      <c r="G109" s="547">
        <v>0</v>
      </c>
      <c r="H109" s="547">
        <v>0</v>
      </c>
      <c r="I109" s="548">
        <v>0</v>
      </c>
      <c r="J109" s="549">
        <v>0</v>
      </c>
      <c r="K109" s="548">
        <v>0</v>
      </c>
      <c r="L109" s="548">
        <v>0</v>
      </c>
      <c r="M109" s="548">
        <v>0</v>
      </c>
      <c r="N109" s="548">
        <v>0</v>
      </c>
      <c r="O109" s="548">
        <v>0</v>
      </c>
      <c r="P109" s="653">
        <f t="shared" si="25"/>
        <v>0</v>
      </c>
      <c r="Q109" s="341"/>
      <c r="R109" s="341"/>
      <c r="S109" s="341"/>
      <c r="T109" s="341"/>
      <c r="U109" s="341"/>
    </row>
    <row r="110" spans="1:21">
      <c r="A110" s="462"/>
      <c r="B110" s="401"/>
      <c r="C110" s="401"/>
      <c r="D110" s="401"/>
      <c r="E110" s="401"/>
      <c r="F110" s="401"/>
      <c r="G110" s="401"/>
      <c r="H110" s="401"/>
      <c r="I110" s="401"/>
      <c r="J110" s="633"/>
      <c r="K110" s="465"/>
      <c r="L110" s="465"/>
      <c r="M110" s="465"/>
      <c r="N110" s="465"/>
      <c r="O110" s="465"/>
      <c r="P110" s="653"/>
      <c r="Q110" s="341"/>
      <c r="R110" s="341"/>
      <c r="S110" s="341"/>
      <c r="T110" s="341"/>
      <c r="U110" s="341"/>
    </row>
    <row r="111" spans="1:21" ht="15.6">
      <c r="A111" s="404" t="s">
        <v>436</v>
      </c>
      <c r="B111" s="14"/>
      <c r="C111" s="7"/>
      <c r="D111" s="7"/>
      <c r="E111" s="316"/>
      <c r="F111" s="7"/>
      <c r="G111" s="7"/>
      <c r="H111" s="7"/>
      <c r="I111" s="7"/>
      <c r="J111" s="429"/>
      <c r="K111" s="316"/>
      <c r="L111" s="316"/>
      <c r="M111" s="316"/>
      <c r="N111" s="316"/>
      <c r="O111" s="316"/>
      <c r="P111" s="653"/>
      <c r="Q111" s="341"/>
      <c r="R111" s="341"/>
      <c r="S111" s="341"/>
      <c r="T111" s="341"/>
      <c r="U111" s="341"/>
    </row>
    <row r="112" spans="1:21">
      <c r="A112" s="6" t="s">
        <v>809</v>
      </c>
      <c r="B112" s="550">
        <f>IF(OR(B11="S",B11="C"),0,IF(OR(B11="1",B11="3"),ROUND(20*8*B16/365,5),ROUND(20*'New Hire'!C24*B16/365,5)))</f>
        <v>13.589040000000001</v>
      </c>
      <c r="C112" s="550">
        <f>IF(OR(C11="S",C11="C"),0,IF(OR(C11="1",C11="3"),ROUND(20*8*C16/365,5),ROUND(20*'New Hire'!D24*C16/365,5)))</f>
        <v>12.23014</v>
      </c>
      <c r="D112" s="550">
        <f>IF(OR(D11="S",D11="C"),0,IF(OR(D11="1",D11="3"),ROUND(20*8*D16/365,5),ROUND(20*'New Hire'!E24*D16/365,5)))</f>
        <v>10.52055</v>
      </c>
      <c r="E112" s="550">
        <f>IF(OR(E11="S",E11="C"),0,IF(OR(E11="1",E11="3"),ROUND(20*8*E16/365,5),ROUND(20*'New Hire'!F24*E16/365,5)))</f>
        <v>13.589040000000001</v>
      </c>
      <c r="F112" s="550">
        <f>IF(OR(F11="S",F11="C"),0,IF(OR(F11="1",F11="3"),ROUND(20*8*F16/365,5),ROUND(20*'New Hire'!G24*F16/365,5)))</f>
        <v>10.871230000000001</v>
      </c>
      <c r="G112" s="550">
        <f>IF(OR(G11="S",G11="C"),0,IF(OR(G11="1",G11="3"),ROUND(20*8*G16/365,5),ROUND(20*'New Hire'!H24*G16/365,5)))</f>
        <v>0</v>
      </c>
      <c r="H112" s="550">
        <f>IF(OR(H11="S",H11="C"),0,IF(OR(H11="1",H11="3"),ROUND(20*8*H16/365,5),ROUND(20*'New Hire'!I24*H16/365,5)))</f>
        <v>6.7945200000000003</v>
      </c>
      <c r="I112" s="550">
        <f>IF(OR(I11="S",I11="C"),0,IF(OR(I11="1",I11="3"),ROUND(20*8*I16/365,5),ROUND(20*'New Hire'!J24*I16/365,5)))</f>
        <v>0</v>
      </c>
      <c r="J112" s="634">
        <f>IF(OR(J11="S",J11="C"),0,IF(OR(J11="1",J11="3"),ROUND(20*8*J16/365,5),ROUND(20*'New Hire'!K24*J16/365,5)))</f>
        <v>0.78903999999999996</v>
      </c>
      <c r="K112" s="550">
        <f>IF(OR(K11="S",K11="C"),0,IF(OR(K11="1",K11="3"),ROUND(20*8*K16/365,5),ROUND(20*'New Hire'!L24*K16/365,5)))</f>
        <v>13.589040000000001</v>
      </c>
      <c r="L112" s="550">
        <f>IF(OR(L11="S",L11="C"),0,IF(OR(L11="1",L11="3"),ROUND(20*8*L16/365,5),ROUND(20*'New Hire'!M24*L16/365,5)))</f>
        <v>13.589040000000001</v>
      </c>
      <c r="M112" s="550">
        <f>IF(OR(M11="S",M11="C"),0,IF(OR(M11="1",M11="3"),ROUND(20*8*M16/365,5),ROUND(20*'New Hire'!N24*M16/365,5)))</f>
        <v>13.589040000000001</v>
      </c>
      <c r="N112" s="550">
        <f>IF(OR(N11="S",N11="C"),0,IF(OR(N11="1",N11="3"),ROUND(20*8*N16/365,5),ROUND(20*'New Hire'!O24*N16/365,5)))</f>
        <v>13.589040000000001</v>
      </c>
      <c r="O112" s="468">
        <f>IF(OR(O11="S",O11="C"),0,IF(OR(O11="1",O11="3"),ROUND(20*8*O16/365,5),ROUND(20*'New Hire'!P24*O16/365,5)))</f>
        <v>0</v>
      </c>
      <c r="P112" s="653">
        <f t="shared" si="25"/>
        <v>121.95067999999999</v>
      </c>
      <c r="Q112" s="341"/>
      <c r="R112" s="341"/>
      <c r="S112" s="341"/>
      <c r="T112" s="341"/>
      <c r="U112" s="341"/>
    </row>
    <row r="113" spans="1:21">
      <c r="A113" s="6" t="s">
        <v>810</v>
      </c>
      <c r="B113" s="550">
        <f>IF(OR(B11="S",B11="C"),0,IF(OR(B11="1",B11="3"),ROUND(10*8*B16/365,5),ROUND(10*'New Hire'!C24*B16/365,5)))</f>
        <v>6.7945200000000003</v>
      </c>
      <c r="C113" s="550">
        <f>IF(OR(C11="S",C11="C"),0,IF(OR(C11="1",C11="3"),ROUND(10*8*C16/365,5),ROUND(10*'New Hire'!D24*C16/365,5)))</f>
        <v>6.1150700000000002</v>
      </c>
      <c r="D113" s="550">
        <f>IF(OR(D11="S",D11="C"),0,IF(OR(D11="1",D11="3"),ROUND(10*8*D16/365,5),ROUND(10*'New Hire'!E24*D16/365,5)))</f>
        <v>5.2602700000000002</v>
      </c>
      <c r="E113" s="550">
        <f>IF(OR(E11="S",E11="C"),0,IF(OR(E11="1",E11="3"),ROUND(10*8*E16/365,5),ROUND(10*'New Hire'!F24*E16/365,5)))</f>
        <v>6.7945200000000003</v>
      </c>
      <c r="F113" s="550">
        <f>IF(OR(F11="S",F11="C"),0,IF(OR(F11="1",F11="3"),ROUND(10*8*F16/365,5),ROUND(10*'New Hire'!G24*F16/365,5)))</f>
        <v>5.4356200000000001</v>
      </c>
      <c r="G113" s="550">
        <f>IF(OR(G11="S",G11="C"),0,IF(OR(G11="1",G11="3"),ROUND(10*8*G16/365,5),ROUND(10*'New Hire'!H24*G16/365,5)))</f>
        <v>0</v>
      </c>
      <c r="H113" s="550">
        <f>IF(OR(H11="S",H11="C"),0,IF(OR(H11="1",H11="3"),ROUND(10*8*H16/365,5),ROUND(10*'New Hire'!I24*H16/365,5)))</f>
        <v>3.3972600000000002</v>
      </c>
      <c r="I113" s="550">
        <f>IF(OR(I11="S",I11="C"),0,IF(OR(I11="1",I11="3"),ROUND(10*8*I16/365,5),ROUND(10*'New Hire'!J24*I16/365,5)))</f>
        <v>0</v>
      </c>
      <c r="J113" s="634">
        <f>IF(OR(J11="S",J11="C"),0,IF(OR(J11="1",J11="3"),ROUND(10*8*J16/365,5),ROUND(10*'New Hire'!K24*J16/365,5)))</f>
        <v>0.39451999999999998</v>
      </c>
      <c r="K113" s="550">
        <f>IF(OR(K11="S",K11="C"),0,IF(OR(K11="1",K11="3"),ROUND(10*8*K16/365,5),ROUND(10*'New Hire'!L24*K16/365,5)))</f>
        <v>6.7945200000000003</v>
      </c>
      <c r="L113" s="550">
        <f>IF(OR(L11="S",L11="C"),0,IF(OR(L11="1",L11="3"),ROUND(10*8*L16/365,5),ROUND(10*'New Hire'!M24*L16/365,5)))</f>
        <v>6.7945200000000003</v>
      </c>
      <c r="M113" s="550">
        <f>IF(OR(M11="S",M11="C"),0,IF(OR(M11="1",M11="3"),ROUND(10*8*M16/365,5),ROUND(10*'New Hire'!N24*M16/365,5)))</f>
        <v>6.7945200000000003</v>
      </c>
      <c r="N113" s="550">
        <f>IF(OR(N11="S",N11="C"),0,IF(OR(N11="1",N11="3"),ROUND(10*8*N16/365,5),ROUND(10*'New Hire'!O24*N16/365,5)))</f>
        <v>6.7945200000000003</v>
      </c>
      <c r="O113" s="468">
        <f>IF(OR(O11="S",O11="C"),0,IF(OR(O11="1",O11="3"),ROUND(10*8*O16/365,5),ROUND(10*'New Hire'!P24*O16/365,5)))</f>
        <v>0</v>
      </c>
      <c r="P113" s="653">
        <f t="shared" si="25"/>
        <v>60.975339999999996</v>
      </c>
      <c r="Q113" s="341"/>
      <c r="R113" s="341"/>
      <c r="S113" s="341"/>
      <c r="T113" s="341"/>
      <c r="U113" s="341"/>
    </row>
    <row r="114" spans="1:21">
      <c r="A114" s="462" t="s">
        <v>658</v>
      </c>
      <c r="B114" s="468">
        <f>IF('New Hire'!C78=1,ROUND(25/10*B13/365,5)*B16,0)</f>
        <v>0</v>
      </c>
      <c r="C114" s="468">
        <f>IF('New Hire'!D78=1,ROUND(25/10*C13/365,5)*C16,0)</f>
        <v>0.19095999999999999</v>
      </c>
      <c r="D114" s="468">
        <f>IF('New Hire'!E78=1,ROUND(25/10*D13/365,5)*D16,0)</f>
        <v>0</v>
      </c>
      <c r="E114" s="468">
        <f>IF('New Hire'!F78=1,ROUND(25/10*E13/365,5)*E16,0)</f>
        <v>0</v>
      </c>
      <c r="F114" s="468">
        <f>IF('New Hire'!G78=1,ROUND(25/10*F13/365,5)*F16,0)</f>
        <v>0.16987999999999998</v>
      </c>
      <c r="G114" s="468">
        <f>IF('New Hire'!H78=1,ROUND(25/10*G13/365,5)*G16,0)</f>
        <v>0</v>
      </c>
      <c r="H114" s="468">
        <f>IF('New Hire'!I78=1,ROUND(25/10*H13/365,5)*H16,0)</f>
        <v>0</v>
      </c>
      <c r="I114" s="468">
        <f>IF('New Hire'!J78=1,ROUND(25/10*I13/365,5)*I16,0)</f>
        <v>0</v>
      </c>
      <c r="J114" s="558">
        <f>IF('New Hire'!K78=1,ROUND(25/10*J13/365,5)*J16,0)</f>
        <v>0</v>
      </c>
      <c r="K114" s="468">
        <f>IF('New Hire'!L78=1,ROUND(25/10*K13/365,5)*K16,0)</f>
        <v>0</v>
      </c>
      <c r="L114" s="468">
        <f>IF('New Hire'!M78=1,ROUND(25/10*L13/365,5)*L16,0)</f>
        <v>0</v>
      </c>
      <c r="M114" s="468">
        <f>IF('New Hire'!N78=1,ROUND(25/10*M13/365,5)*M16,0)</f>
        <v>0</v>
      </c>
      <c r="N114" s="468">
        <f>IF('New Hire'!O78=1,ROUND(25/10*N13/365,5)*N16,0)</f>
        <v>0</v>
      </c>
      <c r="O114" s="468">
        <f>IF('New Hire'!P78=1,ROUND(25/10*O13/365,5)*O16,0)</f>
        <v>0</v>
      </c>
      <c r="P114" s="653">
        <f t="shared" si="25"/>
        <v>0.36083999999999994</v>
      </c>
    </row>
    <row r="115" spans="1:21">
      <c r="A115" s="462" t="s">
        <v>659</v>
      </c>
      <c r="B115" s="468">
        <f>IF(B11="C",0,IF('New Hire'!C78=1,0,ROUND(5/5*B13/365,5)*B16))</f>
        <v>8.4939999999999988E-2</v>
      </c>
      <c r="C115" s="468">
        <f>IF(C11="C",0,IF('New Hire'!D78=1,0,ROUND(5/5*C13/365,5)*C16))</f>
        <v>0</v>
      </c>
      <c r="D115" s="468">
        <f>IF(D11="C",0,IF('New Hire'!E78=1,0,ROUND(5/5*D13/365,5)*D16))</f>
        <v>6.5759999999999999E-2</v>
      </c>
      <c r="E115" s="468">
        <f>IF(E11="C",0,IF('New Hire'!F78=1,0,ROUND(5/5*E13/365,5)*E16))</f>
        <v>8.4939999999999988E-2</v>
      </c>
      <c r="F115" s="468">
        <f>IF(F11="C",0,IF('New Hire'!G78=1,0,ROUND(5/5*F13/365,5)*F16))</f>
        <v>0</v>
      </c>
      <c r="G115" s="468">
        <f>IF(G11="C",0,IF('New Hire'!H78=1,0,ROUND(5/5*G13/365,5)*G16))</f>
        <v>0</v>
      </c>
      <c r="H115" s="468">
        <f>IF(H11="C",0,IF('New Hire'!I78=1,0,ROUND(5/5*H13/365,5)*H16))</f>
        <v>4.2469999999999994E-2</v>
      </c>
      <c r="I115" s="468">
        <f>IF(I11="C",0,IF('New Hire'!J78=1,0,ROUND(5/5*I13/365,5)*I16))</f>
        <v>2.8700000000000003E-2</v>
      </c>
      <c r="J115" s="558">
        <f>IF(J11="C",0,IF('New Hire'!K78=1,0,ROUND(5/5*J13/365,5)*J16))</f>
        <v>4.9199999999999999E-3</v>
      </c>
      <c r="K115" s="468">
        <f>IF(K11="C",0,IF('New Hire'!L78=1,0,ROUND(5/5*K13/365,5)*K16))</f>
        <v>8.4939999999999988E-2</v>
      </c>
      <c r="L115" s="468">
        <f>IF(L11="C",0,IF('New Hire'!M78=1,0,ROUND(5/5*L13/365,5)*L16))</f>
        <v>8.4939999999999988E-2</v>
      </c>
      <c r="M115" s="468">
        <f>IF(M11="C",0,IF('New Hire'!N78=1,0,ROUND(5/5*M13/365,5)*M16))</f>
        <v>8.4939999999999988E-2</v>
      </c>
      <c r="N115" s="468">
        <f>IF(N11="C",0,IF('New Hire'!O78=1,0,ROUND(5/5*N13/365,5)*N16))</f>
        <v>8.4939999999999988E-2</v>
      </c>
      <c r="O115" s="468">
        <f>IF(O11="C",0,IF('New Hire'!P78=1,0,ROUND(5/5*O13/365,5)*O16))</f>
        <v>0</v>
      </c>
      <c r="P115" s="653">
        <f t="shared" si="25"/>
        <v>0.64656999999999998</v>
      </c>
    </row>
    <row r="116" spans="1:21">
      <c r="F116" s="5"/>
      <c r="G116" s="5"/>
      <c r="H116" s="5"/>
      <c r="I116" s="5"/>
      <c r="J116" s="503"/>
      <c r="O116" s="81"/>
      <c r="P116" s="339"/>
    </row>
    <row r="117" spans="1:21" ht="15.6">
      <c r="A117" s="404" t="s">
        <v>622</v>
      </c>
      <c r="H117" s="643" t="s">
        <v>1213</v>
      </c>
      <c r="J117" s="503"/>
      <c r="O117" s="81"/>
      <c r="P117" s="339"/>
    </row>
    <row r="118" spans="1:21">
      <c r="A118" s="436" t="s">
        <v>477</v>
      </c>
      <c r="B118" s="443">
        <f>IF(OR(B18="A", B18="B"),'New Hire'!C32,ROUND('New Hire'!C32*$B$4,0))</f>
        <v>5000000</v>
      </c>
      <c r="C118" s="443">
        <f>IF(OR(C18="A", C18="B"),'New Hire'!D32,ROUND('New Hire'!D32*$B$4,0))</f>
        <v>4500000</v>
      </c>
      <c r="D118" s="443">
        <f>IF(OR(D18="A", D18="B"),'New Hire'!E32,ROUND('New Hire'!E32*$B$4,0))</f>
        <v>7000000</v>
      </c>
      <c r="E118" s="443">
        <f>IF(OR(E18="A", E18="B"),'New Hire'!F32,ROUND('New Hire'!F32*$B$4,0))</f>
        <v>9000000</v>
      </c>
      <c r="F118" s="443">
        <f>IF(OR(F18="A", F18="B"),'New Hire'!G32,ROUND('New Hire'!G32*$B$4,0))</f>
        <v>14000000</v>
      </c>
      <c r="G118" s="443"/>
      <c r="H118" s="443">
        <f>IF(OR(H18="A", H18="B"),'New Hire'!I32,ROUND('New Hire'!I32*$B$4,0))</f>
        <v>116025000</v>
      </c>
      <c r="I118" s="443">
        <f>IF(OR(I18="A", I18="B"),'New Hire'!J32,ROUND('New Hire'!J32*$B$4,0))</f>
        <v>92820000</v>
      </c>
      <c r="J118" s="484">
        <f>IF(OR(J18="A", J18="B"),'New Hire'!K32,ROUND('New Hire'!K32*$B$4,0))</f>
        <v>50000000</v>
      </c>
      <c r="K118" s="443">
        <f>IF(OR(K18="A", K18="B"),'New Hire'!L32,ROUND('New Hire'!L32*$B$4,0))</f>
        <v>8000000</v>
      </c>
      <c r="L118" s="443">
        <f>IF(OR(L18="A", L18="B"),'New Hire'!M32,ROUND('New Hire'!M32*$B$4,0))</f>
        <v>90000000</v>
      </c>
      <c r="M118" s="443">
        <f>IF(OR(M18="A", M18="B"),'New Hire'!N32,ROUND('New Hire'!N32*$B$4,0))</f>
        <v>5000000</v>
      </c>
      <c r="N118" s="443">
        <f>IF(OR(N18="A", N18="B"),'New Hire'!O32,ROUND('New Hire'!O32*$B$4,0))</f>
        <v>6500000</v>
      </c>
      <c r="O118" s="443"/>
      <c r="P118" s="339">
        <f t="shared" si="25"/>
        <v>357845000</v>
      </c>
    </row>
    <row r="119" spans="1:21">
      <c r="A119" s="436" t="s">
        <v>750</v>
      </c>
      <c r="B119" s="443"/>
      <c r="C119" s="443"/>
      <c r="D119" s="443"/>
      <c r="E119" s="443"/>
      <c r="F119" s="443"/>
      <c r="G119" s="443">
        <f>200*B4</f>
        <v>4641000</v>
      </c>
      <c r="H119" s="443"/>
      <c r="I119" s="443"/>
      <c r="J119" s="484"/>
      <c r="K119" s="443"/>
      <c r="L119" s="443"/>
      <c r="M119" s="443"/>
      <c r="N119" s="443"/>
      <c r="O119" s="334">
        <f>'New Hire'!P32</f>
        <v>800000</v>
      </c>
      <c r="P119" s="339">
        <f t="shared" si="25"/>
        <v>5441000</v>
      </c>
    </row>
    <row r="120" spans="1:21">
      <c r="A120" s="442" t="s">
        <v>494</v>
      </c>
      <c r="B120" s="443">
        <f>IF(OR(B18="A",B18="B"),'New Hire'!C34,ROUND('New Hire'!C34*$B$4,0))</f>
        <v>500000</v>
      </c>
      <c r="C120" s="443">
        <f>IF(OR(C18="A",C18="B"),'New Hire'!D34,ROUND('New Hire'!D34*$B$4,0))</f>
        <v>450000</v>
      </c>
      <c r="D120" s="443">
        <f>IF(OR(D18="A",D18="B"),'New Hire'!E34,ROUND('New Hire'!E34*$B$4,0))</f>
        <v>700000</v>
      </c>
      <c r="E120" s="443">
        <f>IF(OR(E18="A",E18="B"),'New Hire'!F34,ROUND('New Hire'!F34*$B$4,0))</f>
        <v>0</v>
      </c>
      <c r="F120" s="443">
        <f>IF(OR(F18="A",F18="B"),'New Hire'!G34,ROUND('New Hire'!G34*$B$4,0))</f>
        <v>0</v>
      </c>
      <c r="G120" s="443">
        <f>IF(OR(G18="A",G18="B"),'New Hire'!H34,ROUND('New Hire'!H34*$B$4,0))</f>
        <v>0</v>
      </c>
      <c r="H120" s="443">
        <f>IF(OR(H18="A",H18="B"),'New Hire'!I34,ROUND('New Hire'!I34*$B$4,0))</f>
        <v>11602500</v>
      </c>
      <c r="I120" s="443">
        <f>IF(OR(I18="A",I18="B"),'New Hire'!J34,ROUND('New Hire'!J34*$B$4,0))</f>
        <v>0</v>
      </c>
      <c r="J120" s="484">
        <f>IF(OR(J18="A",J18="B"),'New Hire'!K34,ROUND('New Hire'!K34*$B$4,0))</f>
        <v>5000000</v>
      </c>
      <c r="K120" s="443">
        <f>IF(OR(K18="A",K18="B"),'New Hire'!L34,ROUND('New Hire'!L34*$B$4,0))</f>
        <v>800000</v>
      </c>
      <c r="L120" s="443">
        <f>IF(OR(L18="A",L18="B"),'New Hire'!M34,ROUND('New Hire'!M34*$B$4,0))</f>
        <v>0</v>
      </c>
      <c r="M120" s="443">
        <f>IF(OR(M18="A",M18="B"),'New Hire'!N34,ROUND('New Hire'!N34*$B$4,0))</f>
        <v>1000000</v>
      </c>
      <c r="N120" s="443">
        <f>IF(OR(N18="A",N18="B"),'New Hire'!O34,ROUND('New Hire'!O34*$B$4,0))</f>
        <v>1000000</v>
      </c>
      <c r="O120" s="443">
        <f>IF(OR(O18="A",O18="B"),'New Hire'!P34,ROUND('New Hire'!P34*$B$4,0))</f>
        <v>0</v>
      </c>
      <c r="P120" s="339">
        <f t="shared" si="25"/>
        <v>16052500</v>
      </c>
    </row>
    <row r="121" spans="1:21">
      <c r="A121" s="408" t="s">
        <v>566</v>
      </c>
      <c r="B121" s="443">
        <f>IF(OR(B18="A",B18="B"),'New Hire'!C36,ROUND('New Hire'!C36*$B$4,0))</f>
        <v>1000000</v>
      </c>
      <c r="C121" s="443">
        <f>IF(OR(C18="A",C18="B"),'New Hire'!D36,ROUND('New Hire'!D36*$B$4,0))</f>
        <v>900000</v>
      </c>
      <c r="D121" s="443">
        <f>IF(OR(D18="A",D18="B"),'New Hire'!E36,ROUND('New Hire'!E36*$B$4,0))</f>
        <v>1400000</v>
      </c>
      <c r="E121" s="443">
        <f>IF(OR(E18="A",E18="B"),'New Hire'!F36,ROUND('New Hire'!F36*$B$4,0))</f>
        <v>0</v>
      </c>
      <c r="F121" s="443">
        <f>IF(OR(F18="A",F18="B"),'New Hire'!G36,ROUND('New Hire'!G36*$B$4,0))</f>
        <v>0</v>
      </c>
      <c r="G121" s="443">
        <f>IF(OR(G18="A",G18="B"),'New Hire'!H36,ROUND('New Hire'!H36*$B$4,0))</f>
        <v>0</v>
      </c>
      <c r="H121" s="443">
        <f>IF(OR(H18="A",H18="B"),'New Hire'!I36,ROUND('New Hire'!I36*$B$4,0))</f>
        <v>23205000</v>
      </c>
      <c r="I121" s="443">
        <f>IF(OR(I18="A",I18="B"),'New Hire'!J36,ROUND('New Hire'!J36*$B$4,0))</f>
        <v>0</v>
      </c>
      <c r="J121" s="484">
        <f>IF(OR(J18="A",J18="B"),'New Hire'!K36,ROUND('New Hire'!K36*$B$4,0))</f>
        <v>10000000</v>
      </c>
      <c r="K121" s="443">
        <f>IF(OR(K18="A",K18="B"),'New Hire'!L36,ROUND('New Hire'!L36*$B$4,0))</f>
        <v>1600000</v>
      </c>
      <c r="L121" s="443">
        <f>IF(OR(L18="A",L18="B"),'New Hire'!M36,ROUND('New Hire'!M36*$B$4,0))</f>
        <v>0</v>
      </c>
      <c r="M121" s="443">
        <f>IF(OR(M18="A",M18="B"),'New Hire'!N36,ROUND('New Hire'!N36*$B$4,0))</f>
        <v>1500000</v>
      </c>
      <c r="N121" s="443">
        <f>IF(OR(N18="A",N18="B"),'New Hire'!O36,ROUND('New Hire'!O36*$B$4,0))</f>
        <v>1500000</v>
      </c>
      <c r="O121" s="443">
        <f>IF(OR(O18="A",O18="B"),'New Hire'!P36,ROUND('New Hire'!P36*$B$4,0))</f>
        <v>0</v>
      </c>
      <c r="P121" s="339">
        <f t="shared" si="25"/>
        <v>31105000</v>
      </c>
    </row>
    <row r="122" spans="1:21">
      <c r="A122" s="416" t="s">
        <v>493</v>
      </c>
      <c r="B122" s="443">
        <v>3000000</v>
      </c>
      <c r="C122" s="443">
        <v>3000000</v>
      </c>
      <c r="D122" s="443">
        <v>3000000</v>
      </c>
      <c r="E122" s="443">
        <v>3000000</v>
      </c>
      <c r="F122" s="443">
        <v>3000000</v>
      </c>
      <c r="G122" s="444">
        <v>0</v>
      </c>
      <c r="H122" s="444">
        <v>0</v>
      </c>
      <c r="I122" s="444">
        <v>0</v>
      </c>
      <c r="J122" s="432">
        <v>0</v>
      </c>
      <c r="K122" s="444">
        <v>0</v>
      </c>
      <c r="L122" s="444">
        <v>0</v>
      </c>
      <c r="M122" s="444">
        <v>0</v>
      </c>
      <c r="N122" s="444">
        <v>0</v>
      </c>
      <c r="O122" s="444">
        <v>0</v>
      </c>
      <c r="P122" s="339">
        <f t="shared" si="25"/>
        <v>15000000</v>
      </c>
    </row>
    <row r="123" spans="1:21">
      <c r="A123" s="416" t="s">
        <v>1184</v>
      </c>
      <c r="B123" s="443">
        <f>AA57</f>
        <v>1500000</v>
      </c>
      <c r="C123" s="443">
        <f>AA58</f>
        <v>1500000</v>
      </c>
      <c r="D123" s="443">
        <f>AA59</f>
        <v>1500000</v>
      </c>
      <c r="E123" s="443"/>
      <c r="F123" s="443"/>
      <c r="G123" s="444"/>
      <c r="H123" s="444">
        <f>AA60*B4</f>
        <v>2320500</v>
      </c>
      <c r="I123" s="444"/>
      <c r="J123" s="432"/>
      <c r="K123" s="444"/>
      <c r="L123" s="444"/>
      <c r="M123" s="444"/>
      <c r="N123" s="444"/>
      <c r="O123" s="444"/>
      <c r="P123" s="339">
        <f t="shared" si="25"/>
        <v>6820500</v>
      </c>
    </row>
    <row r="124" spans="1:21">
      <c r="A124" s="405" t="s">
        <v>528</v>
      </c>
      <c r="B124" s="443">
        <v>2000000</v>
      </c>
      <c r="C124" s="443">
        <v>2000000</v>
      </c>
      <c r="D124" s="443">
        <v>2000000</v>
      </c>
      <c r="E124" s="443"/>
      <c r="F124" s="446"/>
      <c r="G124" s="446"/>
      <c r="H124" s="444">
        <f>350*B4</f>
        <v>8121750</v>
      </c>
      <c r="I124" s="444">
        <f>335*B4</f>
        <v>7773675</v>
      </c>
      <c r="J124" s="635"/>
      <c r="K124" s="446"/>
      <c r="L124" s="446"/>
      <c r="M124" s="446"/>
      <c r="N124" s="446"/>
      <c r="O124" s="656"/>
      <c r="P124" s="339">
        <f t="shared" si="25"/>
        <v>21895425</v>
      </c>
    </row>
    <row r="125" spans="1:21">
      <c r="A125" s="416" t="s">
        <v>592</v>
      </c>
      <c r="B125" s="326">
        <v>1800000</v>
      </c>
      <c r="C125" s="326">
        <v>1800000</v>
      </c>
      <c r="D125" s="326">
        <v>1800000</v>
      </c>
      <c r="E125" s="326">
        <v>1800000</v>
      </c>
      <c r="F125" s="326">
        <v>1800000</v>
      </c>
      <c r="G125" s="334"/>
      <c r="H125" s="326"/>
      <c r="I125" s="326"/>
      <c r="J125" s="635"/>
      <c r="K125" s="446"/>
      <c r="L125" s="446"/>
      <c r="M125" s="446"/>
      <c r="N125" s="446"/>
      <c r="O125" s="656"/>
      <c r="P125" s="339">
        <f t="shared" si="25"/>
        <v>9000000</v>
      </c>
    </row>
    <row r="126" spans="1:21">
      <c r="A126" s="408" t="s">
        <v>491</v>
      </c>
      <c r="B126" s="443"/>
      <c r="C126" s="326">
        <v>730000</v>
      </c>
      <c r="D126" s="326">
        <v>730000</v>
      </c>
      <c r="E126" s="447"/>
      <c r="F126" s="334"/>
      <c r="G126" s="334"/>
      <c r="H126" s="326"/>
      <c r="I126" s="326"/>
      <c r="J126" s="635"/>
      <c r="K126" s="326">
        <v>730000</v>
      </c>
      <c r="L126" s="446"/>
      <c r="M126" s="446"/>
      <c r="N126" s="446"/>
      <c r="O126" s="656"/>
      <c r="P126" s="339">
        <f t="shared" si="25"/>
        <v>2190000</v>
      </c>
    </row>
    <row r="127" spans="1:21">
      <c r="A127" s="408" t="s">
        <v>497</v>
      </c>
      <c r="B127" s="443">
        <v>2000000</v>
      </c>
      <c r="C127" s="443">
        <v>2000000</v>
      </c>
      <c r="D127" s="443">
        <v>2000000</v>
      </c>
      <c r="E127" s="447"/>
      <c r="F127" s="334"/>
      <c r="G127" s="334"/>
      <c r="H127" s="326"/>
      <c r="I127" s="326"/>
      <c r="J127" s="635"/>
      <c r="K127" s="446"/>
      <c r="L127" s="446"/>
      <c r="M127" s="446"/>
      <c r="N127" s="446"/>
      <c r="O127" s="656"/>
      <c r="P127" s="339">
        <f t="shared" si="25"/>
        <v>6000000</v>
      </c>
    </row>
    <row r="128" spans="1:21">
      <c r="A128" s="6" t="s">
        <v>623</v>
      </c>
      <c r="B128" s="443"/>
      <c r="C128" s="443"/>
      <c r="D128" s="443"/>
      <c r="E128" s="447"/>
      <c r="F128" s="334"/>
      <c r="G128" s="334"/>
      <c r="H128" s="326"/>
      <c r="I128" s="326"/>
      <c r="J128" s="635"/>
      <c r="K128" s="446"/>
      <c r="L128" s="446"/>
      <c r="M128" s="446"/>
      <c r="N128" s="446"/>
      <c r="O128" s="656"/>
      <c r="P128" s="339">
        <f t="shared" si="25"/>
        <v>0</v>
      </c>
    </row>
    <row r="129" spans="1:16">
      <c r="A129" s="6" t="s">
        <v>624</v>
      </c>
      <c r="B129" s="443"/>
      <c r="C129" s="443"/>
      <c r="D129" s="443"/>
      <c r="E129" s="447"/>
      <c r="F129" s="334"/>
      <c r="G129" s="334"/>
      <c r="H129" s="326"/>
      <c r="I129" s="326"/>
      <c r="J129" s="635"/>
      <c r="K129" s="446"/>
      <c r="L129" s="446"/>
      <c r="M129" s="446"/>
      <c r="N129" s="446"/>
      <c r="O129" s="656"/>
      <c r="P129" s="339">
        <f t="shared" si="25"/>
        <v>0</v>
      </c>
    </row>
    <row r="130" spans="1:16">
      <c r="A130" s="6" t="s">
        <v>625</v>
      </c>
      <c r="B130" s="443"/>
      <c r="C130" s="443"/>
      <c r="D130" s="443"/>
      <c r="E130" s="443"/>
      <c r="F130" s="446"/>
      <c r="G130" s="447"/>
      <c r="H130" s="334"/>
      <c r="I130" s="334"/>
      <c r="J130" s="431"/>
      <c r="K130" s="326"/>
      <c r="L130" s="334"/>
      <c r="M130" s="446"/>
      <c r="N130" s="446"/>
      <c r="O130" s="656"/>
      <c r="P130" s="339">
        <f t="shared" si="25"/>
        <v>0</v>
      </c>
    </row>
    <row r="131" spans="1:16">
      <c r="A131" s="405" t="s">
        <v>606</v>
      </c>
      <c r="B131" s="443"/>
      <c r="C131" s="443"/>
      <c r="D131" s="443"/>
      <c r="E131" s="443"/>
      <c r="F131" s="446"/>
      <c r="G131" s="447"/>
      <c r="H131" s="334">
        <f>100*B4</f>
        <v>2320500</v>
      </c>
      <c r="I131" s="334">
        <f>100*B4</f>
        <v>2320500</v>
      </c>
      <c r="J131" s="431"/>
      <c r="K131" s="446"/>
      <c r="L131" s="334"/>
      <c r="M131" s="446"/>
      <c r="N131" s="446"/>
      <c r="O131" s="656"/>
      <c r="P131" s="339">
        <f t="shared" si="25"/>
        <v>4641000</v>
      </c>
    </row>
    <row r="132" spans="1:16">
      <c r="A132" s="405" t="s">
        <v>607</v>
      </c>
      <c r="B132" s="443"/>
      <c r="C132" s="443"/>
      <c r="D132" s="443"/>
      <c r="E132" s="443"/>
      <c r="F132" s="446"/>
      <c r="G132" s="447"/>
      <c r="H132" s="334">
        <f>200*B4</f>
        <v>4641000</v>
      </c>
      <c r="I132" s="334">
        <f>200*B4</f>
        <v>4641000</v>
      </c>
      <c r="J132" s="431"/>
      <c r="K132" s="446"/>
      <c r="L132" s="334"/>
      <c r="M132" s="446"/>
      <c r="N132" s="446"/>
      <c r="O132" s="656"/>
      <c r="P132" s="339">
        <f t="shared" si="25"/>
        <v>9282000</v>
      </c>
    </row>
    <row r="133" spans="1:16">
      <c r="A133" s="6" t="s">
        <v>1262</v>
      </c>
      <c r="B133" s="443">
        <f>B118-B131-B132</f>
        <v>5000000</v>
      </c>
      <c r="C133" s="443">
        <f t="shared" ref="C133:O133" si="51">C118-C131-C132</f>
        <v>4500000</v>
      </c>
      <c r="D133" s="443">
        <f t="shared" si="51"/>
        <v>7000000</v>
      </c>
      <c r="E133" s="443">
        <f t="shared" si="51"/>
        <v>9000000</v>
      </c>
      <c r="F133" s="443">
        <f t="shared" si="51"/>
        <v>14000000</v>
      </c>
      <c r="G133" s="443">
        <f t="shared" si="51"/>
        <v>0</v>
      </c>
      <c r="H133" s="443">
        <f t="shared" si="51"/>
        <v>109063500</v>
      </c>
      <c r="I133" s="443">
        <f t="shared" si="51"/>
        <v>85858500</v>
      </c>
      <c r="J133" s="484">
        <f t="shared" si="51"/>
        <v>50000000</v>
      </c>
      <c r="K133" s="443">
        <f t="shared" si="51"/>
        <v>8000000</v>
      </c>
      <c r="L133" s="443">
        <f t="shared" si="51"/>
        <v>90000000</v>
      </c>
      <c r="M133" s="443">
        <f t="shared" si="51"/>
        <v>5000000</v>
      </c>
      <c r="N133" s="443">
        <f t="shared" si="51"/>
        <v>6500000</v>
      </c>
      <c r="O133" s="443">
        <f t="shared" si="51"/>
        <v>0</v>
      </c>
      <c r="P133" s="339">
        <f t="shared" si="25"/>
        <v>343922000</v>
      </c>
    </row>
    <row r="134" spans="1:16">
      <c r="A134" s="6" t="s">
        <v>1261</v>
      </c>
      <c r="B134" s="443">
        <f>(B118-ROUND(B131/B13,0)-ROUND(B132/B13,0))*B13</f>
        <v>5000000</v>
      </c>
      <c r="C134" s="443">
        <f t="shared" ref="C134:O134" si="52">C118-ROUND(C131/C13,0)-ROUND(C132/C13,0)</f>
        <v>4500000</v>
      </c>
      <c r="D134" s="443">
        <f t="shared" si="52"/>
        <v>7000000</v>
      </c>
      <c r="E134" s="443">
        <f t="shared" si="52"/>
        <v>9000000</v>
      </c>
      <c r="F134" s="443">
        <f t="shared" si="52"/>
        <v>14000000</v>
      </c>
      <c r="G134" s="443">
        <f t="shared" si="52"/>
        <v>0</v>
      </c>
      <c r="H134" s="443">
        <f t="shared" si="52"/>
        <v>102102000</v>
      </c>
      <c r="I134" s="443">
        <f t="shared" si="52"/>
        <v>83538000</v>
      </c>
      <c r="J134" s="484">
        <f t="shared" si="52"/>
        <v>50000000</v>
      </c>
      <c r="K134" s="443">
        <f t="shared" si="52"/>
        <v>8000000</v>
      </c>
      <c r="L134" s="443">
        <f t="shared" si="52"/>
        <v>90000000</v>
      </c>
      <c r="M134" s="443">
        <f t="shared" si="52"/>
        <v>5000000</v>
      </c>
      <c r="N134" s="443">
        <f t="shared" si="52"/>
        <v>6500000</v>
      </c>
      <c r="O134" s="443">
        <f t="shared" si="52"/>
        <v>0</v>
      </c>
      <c r="P134" s="339">
        <f t="shared" si="25"/>
        <v>334640000</v>
      </c>
    </row>
    <row r="135" spans="1:16">
      <c r="A135" s="6" t="s">
        <v>628</v>
      </c>
      <c r="B135" s="443">
        <f t="shared" ref="B135:O135" si="53">MIN(IF(OR(B18="A",B18="B"),0,ROUND((B134+B120+B121+B123+B124)*B13/$B$4,0)*$B$5),27800000)</f>
        <v>0</v>
      </c>
      <c r="C135" s="443">
        <f t="shared" si="53"/>
        <v>0</v>
      </c>
      <c r="D135" s="443">
        <f t="shared" si="53"/>
        <v>0</v>
      </c>
      <c r="E135" s="443">
        <f t="shared" si="53"/>
        <v>0</v>
      </c>
      <c r="F135" s="443">
        <f t="shared" si="53"/>
        <v>0</v>
      </c>
      <c r="G135" s="443">
        <f t="shared" si="53"/>
        <v>0</v>
      </c>
      <c r="H135" s="443">
        <f t="shared" si="53"/>
        <v>27800000</v>
      </c>
      <c r="I135" s="443">
        <f t="shared" si="53"/>
        <v>27800000</v>
      </c>
      <c r="J135" s="484">
        <f t="shared" si="53"/>
        <v>0</v>
      </c>
      <c r="K135" s="443">
        <f t="shared" si="53"/>
        <v>0</v>
      </c>
      <c r="L135" s="443">
        <f t="shared" si="53"/>
        <v>0</v>
      </c>
      <c r="M135" s="443">
        <f t="shared" si="53"/>
        <v>0</v>
      </c>
      <c r="N135" s="443">
        <f t="shared" si="53"/>
        <v>0</v>
      </c>
      <c r="O135" s="443">
        <f t="shared" si="53"/>
        <v>0</v>
      </c>
      <c r="P135" s="339">
        <f t="shared" si="25"/>
        <v>55600000</v>
      </c>
    </row>
    <row r="136" spans="1:16">
      <c r="A136" s="6" t="s">
        <v>1201</v>
      </c>
      <c r="B136" s="443">
        <f t="shared" ref="B136:O136" si="54">IF(OR(B18="A",B18="B"),0,ROUND((B134+B120+B121+B123+B124)*B13/$B$4,0)*$B$5)</f>
        <v>0</v>
      </c>
      <c r="C136" s="443">
        <f t="shared" si="54"/>
        <v>0</v>
      </c>
      <c r="D136" s="443">
        <f t="shared" si="54"/>
        <v>0</v>
      </c>
      <c r="E136" s="443">
        <f t="shared" si="54"/>
        <v>0</v>
      </c>
      <c r="F136" s="443">
        <f t="shared" si="54"/>
        <v>0</v>
      </c>
      <c r="G136" s="443">
        <f t="shared" si="54"/>
        <v>0</v>
      </c>
      <c r="H136" s="443">
        <f t="shared" si="54"/>
        <v>74612500</v>
      </c>
      <c r="I136" s="443">
        <f t="shared" si="54"/>
        <v>69348500</v>
      </c>
      <c r="J136" s="484">
        <f t="shared" si="54"/>
        <v>0</v>
      </c>
      <c r="K136" s="443">
        <f t="shared" si="54"/>
        <v>0</v>
      </c>
      <c r="L136" s="443">
        <f t="shared" si="54"/>
        <v>0</v>
      </c>
      <c r="M136" s="443">
        <f t="shared" si="54"/>
        <v>0</v>
      </c>
      <c r="N136" s="443">
        <f t="shared" si="54"/>
        <v>0</v>
      </c>
      <c r="O136" s="443">
        <f t="shared" si="54"/>
        <v>0</v>
      </c>
      <c r="P136" s="339">
        <f t="shared" si="25"/>
        <v>143961000</v>
      </c>
    </row>
    <row r="137" spans="1:16">
      <c r="A137" s="6" t="s">
        <v>657</v>
      </c>
      <c r="B137" s="5">
        <v>0</v>
      </c>
      <c r="C137" s="5">
        <v>0</v>
      </c>
      <c r="D137" s="5">
        <v>0</v>
      </c>
      <c r="E137" s="5">
        <v>0</v>
      </c>
      <c r="F137" s="5">
        <v>0</v>
      </c>
      <c r="G137" s="5">
        <v>0</v>
      </c>
      <c r="H137" s="5">
        <v>0</v>
      </c>
      <c r="I137" s="5">
        <v>0</v>
      </c>
      <c r="J137" s="609">
        <v>0</v>
      </c>
      <c r="K137" s="5">
        <v>0</v>
      </c>
      <c r="L137" s="5">
        <v>0</v>
      </c>
      <c r="M137" s="5">
        <v>0</v>
      </c>
      <c r="N137" s="5">
        <v>0</v>
      </c>
      <c r="O137" s="80">
        <v>0</v>
      </c>
      <c r="P137" s="339">
        <f t="shared" si="25"/>
        <v>0</v>
      </c>
    </row>
    <row r="138" spans="1:16">
      <c r="H138" s="446">
        <f>H118*H13-H131-H132+H120*H13+H121*H13+H123+H124</f>
        <v>78897000</v>
      </c>
      <c r="P138" s="466"/>
    </row>
    <row r="139" spans="1:16">
      <c r="H139">
        <f>H138/B4</f>
        <v>3400</v>
      </c>
    </row>
    <row r="140" spans="1:16">
      <c r="H140">
        <f>H139*B5</f>
        <v>79900000</v>
      </c>
    </row>
  </sheetData>
  <mergeCells count="4">
    <mergeCell ref="X6:AA6"/>
    <mergeCell ref="G6:J6"/>
    <mergeCell ref="X9:AA12"/>
    <mergeCell ref="P7:P8"/>
  </mergeCells>
  <phoneticPr fontId="11" type="noConversion"/>
  <pageMargins left="0.75" right="0.75" top="1" bottom="1" header="0.5" footer="0.5"/>
  <pageSetup paperSize="9" orientation="portrait" verticalDpi="90" r:id="rId1"/>
  <headerFooter alignWithMargins="0"/>
  <ignoredErrors>
    <ignoredError sqref="V67 V76:V77 V23:V27 V60:V65 V49:V58" numberStoredAsText="1"/>
  </ignoredErrors>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C151"/>
  <sheetViews>
    <sheetView workbookViewId="0">
      <pane xSplit="1" ySplit="9" topLeftCell="B95" activePane="bottomRight" state="frozen"/>
      <selection pane="topRight" activeCell="B1" sqref="B1"/>
      <selection pane="bottomLeft" activeCell="A10" sqref="A10"/>
      <selection pane="bottomRight" activeCell="H72" sqref="H72"/>
    </sheetView>
  </sheetViews>
  <sheetFormatPr defaultRowHeight="13.8"/>
  <cols>
    <col min="1" max="1" width="31" style="5" bestFit="1" customWidth="1"/>
    <col min="2" max="5" width="10.77734375" style="5" customWidth="1"/>
    <col min="6" max="21" width="10.77734375" customWidth="1"/>
    <col min="22" max="26" width="9.33203125" style="5" customWidth="1"/>
    <col min="27" max="27" width="8.6640625" style="5" bestFit="1" customWidth="1"/>
    <col min="28" max="29" width="9.33203125" style="5" customWidth="1"/>
  </cols>
  <sheetData>
    <row r="1" spans="1:29" s="3" customFormat="1" ht="20.399999999999999">
      <c r="A1" s="104" t="s">
        <v>6</v>
      </c>
      <c r="B1" s="104"/>
      <c r="C1" s="104"/>
      <c r="D1" s="104"/>
      <c r="E1" s="104"/>
      <c r="F1" s="440"/>
      <c r="L1" s="8"/>
      <c r="X1" s="1"/>
      <c r="Y1" s="1"/>
      <c r="Z1" s="1"/>
      <c r="AA1" s="1"/>
      <c r="AB1" s="1"/>
      <c r="AC1" s="1"/>
    </row>
    <row r="2" spans="1:29" s="3" customFormat="1" ht="12.75" customHeight="1">
      <c r="B2" s="110"/>
      <c r="C2" s="110"/>
      <c r="D2" s="110"/>
      <c r="E2" s="109"/>
      <c r="V2" s="22"/>
      <c r="W2" s="22"/>
      <c r="X2" s="22"/>
      <c r="Y2" s="22"/>
      <c r="Z2" s="22"/>
      <c r="AA2" s="2"/>
      <c r="AC2" s="2"/>
    </row>
    <row r="3" spans="1:29" s="3" customFormat="1" ht="30">
      <c r="A3" s="106" t="s">
        <v>119</v>
      </c>
      <c r="B3" s="110"/>
      <c r="C3" s="110"/>
      <c r="D3" s="110"/>
      <c r="E3" s="106"/>
      <c r="V3" s="22"/>
      <c r="W3" s="22"/>
      <c r="X3" s="22"/>
      <c r="Y3" s="22"/>
      <c r="Z3" s="22"/>
      <c r="AA3" s="2"/>
      <c r="AC3" s="2"/>
    </row>
    <row r="4" spans="1:29" s="110" customFormat="1">
      <c r="A4" s="110" t="s">
        <v>1265</v>
      </c>
      <c r="B4" s="361">
        <v>23205</v>
      </c>
    </row>
    <row r="5" spans="1:29" s="110" customFormat="1">
      <c r="A5" s="110" t="s">
        <v>1268</v>
      </c>
      <c r="B5" s="361">
        <v>23500</v>
      </c>
    </row>
    <row r="6" spans="1:29" s="3" customFormat="1" ht="18" customHeight="1">
      <c r="A6" s="321">
        <v>43524</v>
      </c>
      <c r="B6" s="110"/>
      <c r="C6" s="110"/>
      <c r="D6" s="110"/>
      <c r="G6" s="748" t="s">
        <v>52</v>
      </c>
      <c r="H6" s="748"/>
      <c r="I6" s="748"/>
      <c r="J6" s="748"/>
      <c r="V6" s="22"/>
      <c r="W6" s="22"/>
      <c r="X6" s="747" t="s">
        <v>65</v>
      </c>
      <c r="Y6" s="747"/>
      <c r="Z6" s="747"/>
      <c r="AA6" s="747"/>
      <c r="AB6" s="2"/>
      <c r="AC6" s="2"/>
    </row>
    <row r="7" spans="1:29" s="4" customFormat="1" ht="27.6">
      <c r="A7" s="402"/>
      <c r="B7" s="317" t="s">
        <v>34</v>
      </c>
      <c r="C7" s="318" t="s">
        <v>35</v>
      </c>
      <c r="D7" s="318" t="s">
        <v>36</v>
      </c>
      <c r="E7" s="318" t="s">
        <v>37</v>
      </c>
      <c r="F7" s="318" t="s">
        <v>38</v>
      </c>
      <c r="G7" s="318" t="s">
        <v>39</v>
      </c>
      <c r="H7" s="318" t="s">
        <v>40</v>
      </c>
      <c r="I7" s="318" t="s">
        <v>41</v>
      </c>
      <c r="J7" s="318" t="s">
        <v>42</v>
      </c>
      <c r="K7" s="318" t="s">
        <v>43</v>
      </c>
      <c r="L7" s="318" t="s">
        <v>44</v>
      </c>
      <c r="M7" s="318" t="s">
        <v>45</v>
      </c>
      <c r="N7" s="318" t="s">
        <v>46</v>
      </c>
      <c r="O7" s="318" t="s">
        <v>47</v>
      </c>
      <c r="P7" s="758" t="s">
        <v>498</v>
      </c>
      <c r="Q7" s="343" t="s">
        <v>514</v>
      </c>
      <c r="R7" s="343" t="s">
        <v>515</v>
      </c>
      <c r="S7" s="343" t="s">
        <v>517</v>
      </c>
      <c r="T7" s="343" t="s">
        <v>519</v>
      </c>
      <c r="U7" s="343" t="s">
        <v>521</v>
      </c>
      <c r="V7" s="344"/>
      <c r="W7" s="345"/>
      <c r="X7" s="345"/>
      <c r="Y7" s="345"/>
      <c r="Z7" s="345"/>
      <c r="AA7" s="345"/>
      <c r="AB7" s="345"/>
      <c r="AC7" s="346"/>
    </row>
    <row r="8" spans="1:29" ht="15.6">
      <c r="A8" s="403"/>
      <c r="B8" s="111">
        <f>'New Hire'!C6</f>
        <v>91999901</v>
      </c>
      <c r="C8" s="333">
        <f>'New Hire'!D6</f>
        <v>91999902</v>
      </c>
      <c r="D8" s="333">
        <f>'New Hire'!E6</f>
        <v>91999903</v>
      </c>
      <c r="E8" s="333">
        <f>'New Hire'!F6</f>
        <v>91999904</v>
      </c>
      <c r="F8" s="333">
        <f>'New Hire'!G6</f>
        <v>91999905</v>
      </c>
      <c r="G8" s="333">
        <f>'New Hire'!H6</f>
        <v>91999906</v>
      </c>
      <c r="H8" s="333">
        <f>'New Hire'!I6</f>
        <v>91999907</v>
      </c>
      <c r="I8" s="333">
        <f>'New Hire'!J6</f>
        <v>91999908</v>
      </c>
      <c r="J8" s="333">
        <f>'New Hire'!K6</f>
        <v>91999909</v>
      </c>
      <c r="K8" s="333">
        <f>'New Hire'!L6</f>
        <v>91999910</v>
      </c>
      <c r="L8" s="333">
        <f>'New Hire'!M6</f>
        <v>91999911</v>
      </c>
      <c r="M8" s="333">
        <f>'New Hire'!N6</f>
        <v>91999912</v>
      </c>
      <c r="N8" s="333">
        <f>'New Hire'!O6</f>
        <v>91999913</v>
      </c>
      <c r="O8" s="333">
        <f>'New Hire'!P6</f>
        <v>91999914</v>
      </c>
      <c r="P8" s="759"/>
      <c r="Q8" s="343" t="s">
        <v>513</v>
      </c>
      <c r="R8" s="343" t="s">
        <v>516</v>
      </c>
      <c r="S8" s="343" t="s">
        <v>518</v>
      </c>
      <c r="T8" s="343" t="s">
        <v>520</v>
      </c>
      <c r="U8" s="343" t="s">
        <v>522</v>
      </c>
      <c r="V8" s="47"/>
      <c r="W8" s="48"/>
      <c r="X8" s="20"/>
      <c r="Y8" s="20"/>
      <c r="Z8" s="20"/>
      <c r="AA8" s="20"/>
      <c r="AB8" s="20"/>
      <c r="AC8" s="15"/>
    </row>
    <row r="9" spans="1:29" ht="12.75" customHeight="1">
      <c r="A9" s="404" t="s">
        <v>63</v>
      </c>
      <c r="B9" s="23"/>
      <c r="C9" s="19"/>
      <c r="D9" s="19"/>
      <c r="E9" s="20"/>
      <c r="F9" s="19"/>
      <c r="G9" s="19"/>
      <c r="H9" s="21"/>
      <c r="I9" s="19"/>
      <c r="J9" s="19"/>
      <c r="K9" s="20"/>
      <c r="L9" s="20"/>
      <c r="M9" s="20"/>
      <c r="N9" s="20"/>
      <c r="O9" s="20"/>
      <c r="P9" s="336"/>
      <c r="Q9" s="20"/>
      <c r="R9" s="20"/>
      <c r="S9" s="20"/>
      <c r="T9" s="20"/>
      <c r="U9" s="20"/>
      <c r="V9" s="25"/>
      <c r="W9" s="26"/>
      <c r="X9" s="749" t="s">
        <v>68</v>
      </c>
      <c r="Y9" s="750"/>
      <c r="Z9" s="750"/>
      <c r="AA9" s="751"/>
      <c r="AB9" s="27"/>
      <c r="AC9" s="18"/>
    </row>
    <row r="10" spans="1:29">
      <c r="A10" s="417" t="s">
        <v>478</v>
      </c>
      <c r="B10" s="451">
        <v>43497</v>
      </c>
      <c r="C10" s="451">
        <v>43497</v>
      </c>
      <c r="D10" s="451">
        <v>43497</v>
      </c>
      <c r="E10" s="451">
        <v>43497</v>
      </c>
      <c r="F10" s="451">
        <v>43497</v>
      </c>
      <c r="G10" s="451">
        <v>43497</v>
      </c>
      <c r="H10" s="451">
        <v>43497</v>
      </c>
      <c r="I10" s="451">
        <v>43497</v>
      </c>
      <c r="J10" s="451">
        <v>43497</v>
      </c>
      <c r="K10" s="451">
        <v>43497</v>
      </c>
      <c r="L10" s="451">
        <v>43497</v>
      </c>
      <c r="M10" s="451">
        <v>43497</v>
      </c>
      <c r="N10" s="451">
        <v>43497</v>
      </c>
      <c r="O10" s="520">
        <v>43497</v>
      </c>
      <c r="P10" s="15"/>
      <c r="Q10" s="20"/>
      <c r="R10" s="20"/>
      <c r="S10" s="20"/>
      <c r="T10" s="20"/>
      <c r="U10" s="20"/>
      <c r="V10" s="28"/>
      <c r="W10" s="29"/>
      <c r="X10" s="752"/>
      <c r="Y10" s="753"/>
      <c r="Z10" s="753"/>
      <c r="AA10" s="754"/>
      <c r="AB10" s="30"/>
      <c r="AC10" s="15"/>
    </row>
    <row r="11" spans="1:29" ht="12.75" customHeight="1">
      <c r="A11" s="417" t="s">
        <v>489</v>
      </c>
      <c r="B11" s="382" t="str">
        <f>'New Hire'!C10</f>
        <v>1</v>
      </c>
      <c r="C11" s="382" t="str">
        <f>'New Hire'!D10</f>
        <v>P</v>
      </c>
      <c r="D11" s="382" t="str">
        <f>'New Hire'!E10</f>
        <v>3</v>
      </c>
      <c r="E11" s="382" t="str">
        <f>'New Hire'!F10</f>
        <v>3</v>
      </c>
      <c r="F11" s="382">
        <f>'New Hire'!G10</f>
        <v>4</v>
      </c>
      <c r="G11" s="382" t="str">
        <f>'New Hire'!H10</f>
        <v>C</v>
      </c>
      <c r="H11" s="382" t="str">
        <f>'New Hire'!I10</f>
        <v>I</v>
      </c>
      <c r="I11" s="382" t="str">
        <f>'New Hire'!J10</f>
        <v>S</v>
      </c>
      <c r="J11" s="382" t="str">
        <f>'New Hire'!K10</f>
        <v>P</v>
      </c>
      <c r="K11" s="382" t="str">
        <f>'New Hire'!L10</f>
        <v>1</v>
      </c>
      <c r="L11" s="382" t="str">
        <f>'New Hire'!M10</f>
        <v>1</v>
      </c>
      <c r="M11" s="382">
        <f>'New Hire'!N10</f>
        <v>3</v>
      </c>
      <c r="N11" s="382">
        <f>'New Hire'!O10</f>
        <v>3</v>
      </c>
      <c r="O11" s="383" t="str">
        <f>'New Hire'!P10</f>
        <v>C</v>
      </c>
      <c r="P11" s="15"/>
      <c r="Q11" s="20"/>
      <c r="R11" s="20"/>
      <c r="S11" s="20"/>
      <c r="T11" s="20"/>
      <c r="U11" s="20"/>
      <c r="V11" s="32"/>
      <c r="W11" s="20"/>
      <c r="X11" s="752"/>
      <c r="Y11" s="753"/>
      <c r="Z11" s="753"/>
      <c r="AA11" s="754"/>
      <c r="AB11" s="20"/>
      <c r="AC11" s="15"/>
    </row>
    <row r="12" spans="1:29" ht="12.75" customHeight="1">
      <c r="A12" s="417" t="s">
        <v>490</v>
      </c>
      <c r="B12" s="385" t="str">
        <f>'New Hire'!C11</f>
        <v>;P</v>
      </c>
      <c r="C12" s="385" t="str">
        <f>'New Hire'!D11</f>
        <v>;A</v>
      </c>
      <c r="D12" s="385" t="str">
        <f>'New Hire'!E11</f>
        <v>;E</v>
      </c>
      <c r="E12" s="385" t="str">
        <f>'New Hire'!F11</f>
        <v>;I</v>
      </c>
      <c r="F12" s="385" t="str">
        <f>'New Hire'!G11</f>
        <v>;P</v>
      </c>
      <c r="G12" s="385" t="str">
        <f>'New Hire'!H11</f>
        <v>;A</v>
      </c>
      <c r="H12" s="385" t="str">
        <f>'New Hire'!I11</f>
        <v>;A</v>
      </c>
      <c r="I12" s="385" t="str">
        <f>'New Hire'!J11</f>
        <v>;V</v>
      </c>
      <c r="J12" s="385" t="str">
        <f>'New Hire'!K11</f>
        <v>;P</v>
      </c>
      <c r="K12" s="385" t="str">
        <f>'New Hire'!L11</f>
        <v>;A</v>
      </c>
      <c r="L12" s="385" t="str">
        <f>'New Hire'!M11</f>
        <v>;I</v>
      </c>
      <c r="M12" s="385" t="str">
        <f>'New Hire'!N11</f>
        <v>;P</v>
      </c>
      <c r="N12" s="385" t="str">
        <f>'New Hire'!O11</f>
        <v>;P</v>
      </c>
      <c r="O12" s="386" t="str">
        <f>'New Hire'!P11</f>
        <v>;I</v>
      </c>
      <c r="P12" s="15"/>
      <c r="Q12" s="20"/>
      <c r="R12" s="20"/>
      <c r="S12" s="20"/>
      <c r="T12" s="20"/>
      <c r="U12" s="20"/>
      <c r="V12" s="32"/>
      <c r="W12" s="20"/>
      <c r="X12" s="755"/>
      <c r="Y12" s="756"/>
      <c r="Z12" s="756"/>
      <c r="AA12" s="757"/>
      <c r="AB12" s="20"/>
      <c r="AC12" s="15"/>
    </row>
    <row r="13" spans="1:29">
      <c r="A13" s="448" t="s">
        <v>476</v>
      </c>
      <c r="B13" s="649">
        <f>'New Hire'!C27</f>
        <v>1</v>
      </c>
      <c r="C13" s="649">
        <f>'New Hire'!D27</f>
        <v>0.9</v>
      </c>
      <c r="D13" s="649">
        <f>'New Hire'!E27</f>
        <v>1</v>
      </c>
      <c r="E13" s="649">
        <f>'New Hire'!F27</f>
        <v>1</v>
      </c>
      <c r="F13" s="649">
        <f>'New Hire'!G27</f>
        <v>0.8</v>
      </c>
      <c r="G13" s="649">
        <f>'New Hire'!H27</f>
        <v>1</v>
      </c>
      <c r="H13" s="649">
        <f>'New Hire'!I27</f>
        <v>0.5</v>
      </c>
      <c r="I13" s="649">
        <f>'New Hire'!J27</f>
        <v>0.75</v>
      </c>
      <c r="J13" s="649">
        <f>'New Hire'!K27</f>
        <v>0.6</v>
      </c>
      <c r="K13" s="649">
        <f>'New Hire'!L27</f>
        <v>1</v>
      </c>
      <c r="L13" s="649">
        <f>'New Hire'!M27</f>
        <v>1</v>
      </c>
      <c r="M13" s="649">
        <f>'New Hire'!N27</f>
        <v>1</v>
      </c>
      <c r="N13" s="649">
        <f>'New Hire'!O27</f>
        <v>1</v>
      </c>
      <c r="O13" s="652">
        <f>'New Hire'!P27</f>
        <v>1</v>
      </c>
      <c r="P13" s="15"/>
      <c r="Q13" s="20"/>
      <c r="R13" s="20"/>
      <c r="S13" s="20"/>
      <c r="T13" s="20"/>
      <c r="U13" s="20"/>
      <c r="V13" s="23"/>
      <c r="W13" s="19"/>
      <c r="X13" s="19"/>
      <c r="Y13" s="19"/>
      <c r="Z13" s="19"/>
      <c r="AA13" s="19"/>
      <c r="AB13" s="19"/>
      <c r="AC13" s="31"/>
    </row>
    <row r="14" spans="1:29">
      <c r="A14" s="417" t="s">
        <v>479</v>
      </c>
      <c r="B14" s="332">
        <f t="shared" ref="B14:O14" si="0">NETWORKDAYS(B10,$A$6)</f>
        <v>20</v>
      </c>
      <c r="C14" s="332">
        <f t="shared" si="0"/>
        <v>20</v>
      </c>
      <c r="D14" s="332">
        <f t="shared" si="0"/>
        <v>20</v>
      </c>
      <c r="E14" s="332">
        <f t="shared" si="0"/>
        <v>20</v>
      </c>
      <c r="F14" s="332">
        <f t="shared" si="0"/>
        <v>20</v>
      </c>
      <c r="G14" s="332">
        <f t="shared" si="0"/>
        <v>20</v>
      </c>
      <c r="H14" s="332">
        <f t="shared" si="0"/>
        <v>20</v>
      </c>
      <c r="I14" s="332">
        <f t="shared" si="0"/>
        <v>20</v>
      </c>
      <c r="J14" s="332">
        <f t="shared" si="0"/>
        <v>20</v>
      </c>
      <c r="K14" s="332">
        <f t="shared" si="0"/>
        <v>20</v>
      </c>
      <c r="L14" s="332">
        <f t="shared" si="0"/>
        <v>20</v>
      </c>
      <c r="M14" s="332">
        <f t="shared" si="0"/>
        <v>20</v>
      </c>
      <c r="N14" s="332">
        <f t="shared" si="0"/>
        <v>20</v>
      </c>
      <c r="O14" s="389">
        <f t="shared" si="0"/>
        <v>20</v>
      </c>
      <c r="P14" s="15"/>
      <c r="Q14" s="20"/>
      <c r="R14" s="20"/>
      <c r="S14" s="20"/>
      <c r="T14" s="20"/>
      <c r="U14" s="20"/>
      <c r="V14" s="23"/>
      <c r="W14" s="19"/>
      <c r="X14" s="19"/>
      <c r="Y14" s="19"/>
      <c r="Z14" s="19"/>
      <c r="AA14" s="19"/>
      <c r="AB14" s="19"/>
      <c r="AC14" s="31"/>
    </row>
    <row r="15" spans="1:29">
      <c r="A15" s="417" t="s">
        <v>627</v>
      </c>
      <c r="B15" s="332">
        <f>NETWORKDAYS(EOMONTH($A$6,-1)+1,EOMONTH($A$6,0))</f>
        <v>20</v>
      </c>
      <c r="C15" s="332">
        <f t="shared" ref="C15:O15" si="1">NETWORKDAYS(EOMONTH($A$6,-1)+1,EOMONTH($A$6,0))</f>
        <v>20</v>
      </c>
      <c r="D15" s="332">
        <f t="shared" si="1"/>
        <v>20</v>
      </c>
      <c r="E15" s="332">
        <f t="shared" si="1"/>
        <v>20</v>
      </c>
      <c r="F15" s="332">
        <f t="shared" si="1"/>
        <v>20</v>
      </c>
      <c r="G15" s="332">
        <f t="shared" si="1"/>
        <v>20</v>
      </c>
      <c r="H15" s="332">
        <f t="shared" si="1"/>
        <v>20</v>
      </c>
      <c r="I15" s="332">
        <f t="shared" si="1"/>
        <v>20</v>
      </c>
      <c r="J15" s="332">
        <f t="shared" si="1"/>
        <v>20</v>
      </c>
      <c r="K15" s="332">
        <f t="shared" si="1"/>
        <v>20</v>
      </c>
      <c r="L15" s="332">
        <f t="shared" si="1"/>
        <v>20</v>
      </c>
      <c r="M15" s="332">
        <f t="shared" si="1"/>
        <v>20</v>
      </c>
      <c r="N15" s="332">
        <f t="shared" si="1"/>
        <v>20</v>
      </c>
      <c r="O15" s="389">
        <f t="shared" si="1"/>
        <v>20</v>
      </c>
      <c r="P15" s="15"/>
      <c r="Q15" s="20"/>
      <c r="R15" s="20"/>
      <c r="S15" s="20"/>
      <c r="T15" s="20"/>
      <c r="U15" s="20"/>
      <c r="V15" s="23"/>
      <c r="W15" s="19"/>
      <c r="X15" s="19"/>
      <c r="Y15" s="19"/>
      <c r="Z15" s="19"/>
      <c r="AA15" s="19"/>
      <c r="AB15" s="19"/>
      <c r="AC15" s="31"/>
    </row>
    <row r="16" spans="1:29">
      <c r="A16" s="417" t="s">
        <v>511</v>
      </c>
      <c r="B16" s="329">
        <f t="shared" ref="B16:O16" si="2">_xlfn.DAYS($A$6,B10)+1</f>
        <v>28</v>
      </c>
      <c r="C16" s="329">
        <f t="shared" si="2"/>
        <v>28</v>
      </c>
      <c r="D16" s="329">
        <f t="shared" si="2"/>
        <v>28</v>
      </c>
      <c r="E16" s="329">
        <f t="shared" si="2"/>
        <v>28</v>
      </c>
      <c r="F16" s="329">
        <f t="shared" si="2"/>
        <v>28</v>
      </c>
      <c r="G16" s="329">
        <f t="shared" si="2"/>
        <v>28</v>
      </c>
      <c r="H16" s="329">
        <f t="shared" si="2"/>
        <v>28</v>
      </c>
      <c r="I16" s="329">
        <f t="shared" si="2"/>
        <v>28</v>
      </c>
      <c r="J16" s="329">
        <f t="shared" si="2"/>
        <v>28</v>
      </c>
      <c r="K16" s="329">
        <f t="shared" si="2"/>
        <v>28</v>
      </c>
      <c r="L16" s="329">
        <f t="shared" si="2"/>
        <v>28</v>
      </c>
      <c r="M16" s="329">
        <f t="shared" si="2"/>
        <v>28</v>
      </c>
      <c r="N16" s="329">
        <f t="shared" si="2"/>
        <v>28</v>
      </c>
      <c r="O16" s="391">
        <f t="shared" si="2"/>
        <v>28</v>
      </c>
      <c r="P16" s="15"/>
      <c r="Q16" s="20"/>
      <c r="R16" s="20"/>
      <c r="S16" s="20"/>
      <c r="T16" s="20"/>
      <c r="U16" s="20"/>
      <c r="V16" s="23"/>
      <c r="W16" s="19"/>
      <c r="X16" s="19"/>
      <c r="Y16" s="19"/>
      <c r="Z16" s="19"/>
      <c r="AA16" s="19"/>
      <c r="AB16" s="19"/>
      <c r="AC16" s="31"/>
    </row>
    <row r="17" spans="1:29">
      <c r="A17" s="417" t="s">
        <v>531</v>
      </c>
      <c r="B17" s="331">
        <f>DATEDIF('New Hire'!C41,$A$6,"Y")</f>
        <v>9</v>
      </c>
      <c r="C17" s="331">
        <f>DATEDIF('New Hire'!D41,$A$6,"Y")</f>
        <v>13</v>
      </c>
      <c r="D17" s="331">
        <f>DATEDIF('New Hire'!E41,$A$6,"Y")</f>
        <v>0</v>
      </c>
      <c r="E17" s="331">
        <f>DATEDIF('New Hire'!F41,$A$6,"Y")</f>
        <v>3</v>
      </c>
      <c r="F17" s="331">
        <f>DATEDIF('New Hire'!G41,$A$6,"Y")</f>
        <v>9</v>
      </c>
      <c r="G17" s="331">
        <f>DATEDIF('New Hire'!H41,$A$6,"Y")</f>
        <v>0</v>
      </c>
      <c r="H17" s="331">
        <f>DATEDIF('New Hire'!I41,$A$6,"Y")</f>
        <v>14</v>
      </c>
      <c r="I17" s="331">
        <f>DATEDIF('New Hire'!J41,$A$6,"Y")</f>
        <v>0</v>
      </c>
      <c r="J17" s="331">
        <f>DATEDIF('New Hire'!K41,$A$6,"Y")</f>
        <v>0</v>
      </c>
      <c r="K17" s="331">
        <f>DATEDIF('New Hire'!L41,$A$6,"Y")</f>
        <v>9</v>
      </c>
      <c r="L17" s="331">
        <f>DATEDIF('New Hire'!M41,$A$6,"Y")</f>
        <v>4</v>
      </c>
      <c r="M17" s="331">
        <f>DATEDIF('New Hire'!N41,$A$6,"Y")</f>
        <v>0</v>
      </c>
      <c r="N17" s="331">
        <f>DATEDIF('New Hire'!O41,$A$6,"Y")</f>
        <v>11</v>
      </c>
      <c r="O17" s="387">
        <f>DATEDIF('New Hire'!P41,$A$6,"Y")</f>
        <v>0</v>
      </c>
      <c r="P17" s="15"/>
      <c r="Q17" s="20"/>
      <c r="R17" s="20"/>
      <c r="S17" s="20"/>
      <c r="T17" s="20"/>
      <c r="U17" s="20"/>
      <c r="V17" s="23"/>
      <c r="W17" s="19"/>
      <c r="X17" s="19"/>
      <c r="Y17" s="19"/>
      <c r="Z17" s="19"/>
      <c r="AA17" s="19"/>
      <c r="AB17" s="19"/>
      <c r="AC17" s="31"/>
    </row>
    <row r="18" spans="1:29">
      <c r="A18" s="417" t="s">
        <v>563</v>
      </c>
      <c r="B18" s="331" t="str">
        <f>'New Hire'!C52</f>
        <v>A</v>
      </c>
      <c r="C18" s="331" t="str">
        <f>'New Hire'!D52</f>
        <v>A</v>
      </c>
      <c r="D18" s="331" t="str">
        <f>'New Hire'!E52</f>
        <v>A</v>
      </c>
      <c r="E18" s="331" t="str">
        <f>'New Hire'!F52</f>
        <v>B</v>
      </c>
      <c r="F18" s="331" t="str">
        <f>'New Hire'!G52</f>
        <v>B</v>
      </c>
      <c r="G18" s="331" t="str">
        <f>'New Hire'!H52</f>
        <v>C</v>
      </c>
      <c r="H18" s="331" t="str">
        <f>'New Hire'!I52</f>
        <v>D</v>
      </c>
      <c r="I18" s="331" t="str">
        <f>'New Hire'!J52</f>
        <v>D</v>
      </c>
      <c r="J18" s="331" t="str">
        <f>'New Hire'!K52</f>
        <v>A</v>
      </c>
      <c r="K18" s="331" t="str">
        <f>'New Hire'!L52</f>
        <v>A</v>
      </c>
      <c r="L18" s="331" t="str">
        <f>'New Hire'!M52</f>
        <v>A</v>
      </c>
      <c r="M18" s="331" t="str">
        <f>'New Hire'!N52</f>
        <v>A</v>
      </c>
      <c r="N18" s="331" t="str">
        <f>'New Hire'!O52</f>
        <v>A</v>
      </c>
      <c r="O18" s="331" t="str">
        <f>'New Hire'!P52</f>
        <v>B</v>
      </c>
      <c r="P18" s="336"/>
      <c r="Q18" s="20"/>
      <c r="R18" s="20"/>
      <c r="S18" s="20"/>
      <c r="T18" s="20"/>
      <c r="U18" s="20"/>
      <c r="V18" s="23"/>
      <c r="W18" s="19"/>
      <c r="X18" s="19"/>
      <c r="Y18" s="19"/>
      <c r="Z18" s="19"/>
      <c r="AA18" s="19"/>
      <c r="AB18" s="19"/>
      <c r="AC18" s="31"/>
    </row>
    <row r="19" spans="1:29">
      <c r="A19" s="449" t="s">
        <v>107</v>
      </c>
      <c r="B19" s="88">
        <v>1</v>
      </c>
      <c r="C19" s="88">
        <v>2</v>
      </c>
      <c r="D19" s="88">
        <v>1</v>
      </c>
      <c r="E19" s="88">
        <v>3</v>
      </c>
      <c r="F19" s="88">
        <v>0</v>
      </c>
      <c r="G19" s="88">
        <v>0</v>
      </c>
      <c r="H19" s="88">
        <v>2</v>
      </c>
      <c r="I19" s="88">
        <v>0</v>
      </c>
      <c r="J19" s="88">
        <v>0</v>
      </c>
      <c r="K19" s="88">
        <v>0</v>
      </c>
      <c r="L19" s="88">
        <v>0</v>
      </c>
      <c r="M19" s="88">
        <v>0</v>
      </c>
      <c r="N19" s="88">
        <v>0</v>
      </c>
      <c r="O19" s="88">
        <v>0</v>
      </c>
      <c r="P19" s="336"/>
      <c r="Q19" s="20"/>
      <c r="R19" s="20"/>
      <c r="S19" s="20"/>
      <c r="T19" s="20"/>
      <c r="U19" s="20"/>
      <c r="V19" s="23"/>
      <c r="W19" s="19"/>
      <c r="X19" s="19"/>
      <c r="Y19" s="19"/>
      <c r="Z19" s="19"/>
      <c r="AA19" s="19"/>
      <c r="AB19" s="19"/>
      <c r="AC19" s="31"/>
    </row>
    <row r="20" spans="1:29" ht="15.6">
      <c r="A20" s="450" t="s">
        <v>113</v>
      </c>
      <c r="B20" s="89">
        <f>IF(OR(B18="A",B18="C"),3600000*B19,0)</f>
        <v>3600000</v>
      </c>
      <c r="C20" s="89">
        <f t="shared" ref="C20:O20" si="3">IF(OR(C18="A",C18="C"),3600000*C19,0)</f>
        <v>7200000</v>
      </c>
      <c r="D20" s="89">
        <f t="shared" si="3"/>
        <v>3600000</v>
      </c>
      <c r="E20" s="89">
        <f t="shared" si="3"/>
        <v>0</v>
      </c>
      <c r="F20" s="89">
        <f t="shared" si="3"/>
        <v>0</v>
      </c>
      <c r="G20" s="89">
        <f t="shared" si="3"/>
        <v>0</v>
      </c>
      <c r="H20" s="89">
        <f t="shared" si="3"/>
        <v>0</v>
      </c>
      <c r="I20" s="89">
        <f t="shared" si="3"/>
        <v>0</v>
      </c>
      <c r="J20" s="89">
        <f t="shared" si="3"/>
        <v>0</v>
      </c>
      <c r="K20" s="89">
        <f t="shared" si="3"/>
        <v>0</v>
      </c>
      <c r="L20" s="89">
        <f t="shared" si="3"/>
        <v>0</v>
      </c>
      <c r="M20" s="89">
        <f t="shared" si="3"/>
        <v>0</v>
      </c>
      <c r="N20" s="89">
        <f t="shared" si="3"/>
        <v>0</v>
      </c>
      <c r="O20" s="89">
        <f t="shared" si="3"/>
        <v>0</v>
      </c>
      <c r="P20" s="589">
        <f>SUM(B20:O20)</f>
        <v>14400000</v>
      </c>
      <c r="Q20" s="20"/>
      <c r="R20" s="20"/>
      <c r="S20" s="20"/>
      <c r="T20" s="20"/>
      <c r="U20" s="20"/>
      <c r="V20" s="40"/>
      <c r="W20" s="41"/>
      <c r="X20" s="19"/>
      <c r="Y20" s="19"/>
      <c r="Z20" s="19"/>
      <c r="AA20" s="19"/>
      <c r="AB20" s="16"/>
      <c r="AC20" s="17"/>
    </row>
    <row r="21" spans="1:29">
      <c r="A21" s="450" t="s">
        <v>114</v>
      </c>
      <c r="B21" s="89">
        <f>IF(OR(B18="A",B18="C"),9000000,0)</f>
        <v>9000000</v>
      </c>
      <c r="C21" s="89">
        <f t="shared" ref="C21:O21" si="4">IF(OR(C18="A",C18="C"),9000000,0)</f>
        <v>9000000</v>
      </c>
      <c r="D21" s="89">
        <f t="shared" si="4"/>
        <v>9000000</v>
      </c>
      <c r="E21" s="89">
        <f t="shared" si="4"/>
        <v>0</v>
      </c>
      <c r="F21" s="89">
        <f t="shared" si="4"/>
        <v>0</v>
      </c>
      <c r="G21" s="89">
        <f t="shared" si="4"/>
        <v>9000000</v>
      </c>
      <c r="H21" s="89">
        <f t="shared" si="4"/>
        <v>0</v>
      </c>
      <c r="I21" s="89">
        <f t="shared" si="4"/>
        <v>0</v>
      </c>
      <c r="J21" s="89">
        <f t="shared" si="4"/>
        <v>9000000</v>
      </c>
      <c r="K21" s="89">
        <f t="shared" si="4"/>
        <v>9000000</v>
      </c>
      <c r="L21" s="89">
        <f t="shared" si="4"/>
        <v>9000000</v>
      </c>
      <c r="M21" s="89">
        <f t="shared" si="4"/>
        <v>9000000</v>
      </c>
      <c r="N21" s="89">
        <f t="shared" si="4"/>
        <v>9000000</v>
      </c>
      <c r="O21" s="89">
        <f t="shared" si="4"/>
        <v>0</v>
      </c>
      <c r="P21" s="589">
        <f>SUM(B21:O21)</f>
        <v>81000000</v>
      </c>
      <c r="Q21" s="20"/>
      <c r="R21" s="20"/>
      <c r="S21" s="20"/>
      <c r="T21" s="20"/>
      <c r="U21" s="20"/>
      <c r="V21" s="50"/>
      <c r="W21" s="44"/>
      <c r="X21" s="44"/>
      <c r="Y21" s="44"/>
      <c r="Z21" s="44"/>
      <c r="AA21" s="44"/>
      <c r="AB21" s="44"/>
      <c r="AC21" s="51"/>
    </row>
    <row r="22" spans="1:29" ht="15.6">
      <c r="A22" s="406" t="s">
        <v>53</v>
      </c>
      <c r="B22" s="64"/>
      <c r="C22" s="65"/>
      <c r="D22" s="65"/>
      <c r="E22" s="66"/>
      <c r="F22" s="65"/>
      <c r="G22" s="65"/>
      <c r="H22" s="21"/>
      <c r="I22" s="65"/>
      <c r="J22" s="65"/>
      <c r="K22" s="66"/>
      <c r="L22" s="66"/>
      <c r="M22" s="66"/>
      <c r="N22" s="66"/>
      <c r="O22" s="376"/>
      <c r="P22" s="376"/>
      <c r="Q22" s="66"/>
      <c r="R22" s="66"/>
      <c r="S22" s="66"/>
      <c r="T22" s="66"/>
      <c r="U22" s="66"/>
      <c r="V22" s="112" t="s">
        <v>57</v>
      </c>
      <c r="W22" s="113" t="s">
        <v>67</v>
      </c>
      <c r="X22" s="113" t="s">
        <v>69</v>
      </c>
      <c r="Y22" s="113" t="s">
        <v>70</v>
      </c>
      <c r="Z22" s="113" t="s">
        <v>56</v>
      </c>
      <c r="AA22" s="113" t="s">
        <v>54</v>
      </c>
      <c r="AB22" s="113" t="s">
        <v>58</v>
      </c>
      <c r="AC22" s="114" t="s">
        <v>59</v>
      </c>
    </row>
    <row r="23" spans="1:29">
      <c r="A23" s="407" t="s">
        <v>55</v>
      </c>
      <c r="B23" s="64"/>
      <c r="C23" s="65"/>
      <c r="D23" s="65"/>
      <c r="E23" s="66"/>
      <c r="F23" s="65"/>
      <c r="G23" s="65"/>
      <c r="H23" s="21"/>
      <c r="I23" s="65"/>
      <c r="J23" s="65"/>
      <c r="K23" s="66"/>
      <c r="L23" s="66"/>
      <c r="M23" s="66"/>
      <c r="N23" s="66"/>
      <c r="O23" s="376"/>
      <c r="P23" s="376"/>
      <c r="Q23" s="66"/>
      <c r="R23" s="66"/>
      <c r="S23" s="66"/>
      <c r="T23" s="66"/>
      <c r="U23" s="66"/>
      <c r="V23" s="350" t="s">
        <v>2</v>
      </c>
      <c r="W23" s="351">
        <v>91999901</v>
      </c>
      <c r="X23" s="352" t="s">
        <v>505</v>
      </c>
      <c r="Y23" s="352" t="s">
        <v>506</v>
      </c>
      <c r="Z23" s="353" t="s">
        <v>507</v>
      </c>
      <c r="AA23" s="354">
        <v>8000000</v>
      </c>
      <c r="AB23" s="352"/>
      <c r="AC23" s="355"/>
    </row>
    <row r="24" spans="1:29">
      <c r="A24" s="436" t="s">
        <v>477</v>
      </c>
      <c r="B24" s="326">
        <f t="shared" ref="B24:O24" si="5">IF(B11&lt;&gt;"C",ROUND(B147*B91,0),0)</f>
        <v>5000000</v>
      </c>
      <c r="C24" s="326">
        <f t="shared" si="5"/>
        <v>4050000</v>
      </c>
      <c r="D24" s="326">
        <f t="shared" si="5"/>
        <v>7000000</v>
      </c>
      <c r="E24" s="326">
        <f t="shared" si="5"/>
        <v>9000000</v>
      </c>
      <c r="F24" s="326">
        <f t="shared" si="5"/>
        <v>11200000</v>
      </c>
      <c r="G24" s="326">
        <f t="shared" si="5"/>
        <v>0</v>
      </c>
      <c r="H24" s="326">
        <f t="shared" si="5"/>
        <v>51051000</v>
      </c>
      <c r="I24" s="326">
        <f t="shared" si="5"/>
        <v>62653500</v>
      </c>
      <c r="J24" s="326">
        <f t="shared" si="5"/>
        <v>30000000</v>
      </c>
      <c r="K24" s="326">
        <f t="shared" si="5"/>
        <v>8000000</v>
      </c>
      <c r="L24" s="326">
        <f t="shared" si="5"/>
        <v>90000000</v>
      </c>
      <c r="M24" s="326">
        <f t="shared" si="5"/>
        <v>5000000</v>
      </c>
      <c r="N24" s="326">
        <f t="shared" si="5"/>
        <v>6500000</v>
      </c>
      <c r="O24" s="326">
        <f t="shared" si="5"/>
        <v>0</v>
      </c>
      <c r="P24" s="338">
        <f t="shared" ref="P24:P35" si="6">SUM(B24:O24)</f>
        <v>289454500</v>
      </c>
      <c r="Q24" s="89" t="s">
        <v>523</v>
      </c>
      <c r="R24" s="89" t="s">
        <v>523</v>
      </c>
      <c r="S24" s="89" t="s">
        <v>523</v>
      </c>
      <c r="T24" s="89" t="s">
        <v>523</v>
      </c>
      <c r="U24" s="89" t="s">
        <v>523</v>
      </c>
      <c r="V24" s="350" t="s">
        <v>2</v>
      </c>
      <c r="W24" s="351">
        <v>91999902</v>
      </c>
      <c r="X24" s="352" t="s">
        <v>505</v>
      </c>
      <c r="Y24" s="352" t="s">
        <v>506</v>
      </c>
      <c r="Z24" s="353" t="s">
        <v>507</v>
      </c>
      <c r="AA24" s="354">
        <v>8000000</v>
      </c>
      <c r="AB24" s="352"/>
      <c r="AC24" s="355"/>
    </row>
    <row r="25" spans="1:29">
      <c r="A25" s="452" t="s">
        <v>629</v>
      </c>
      <c r="B25" s="431"/>
      <c r="C25" s="431"/>
      <c r="D25" s="431"/>
      <c r="E25" s="431"/>
      <c r="F25" s="431"/>
      <c r="G25" s="431"/>
      <c r="H25" s="431"/>
      <c r="I25" s="431"/>
      <c r="J25" s="431">
        <f>'UAT1-Jan'!J24</f>
        <v>3913044</v>
      </c>
      <c r="K25" s="431"/>
      <c r="L25" s="431"/>
      <c r="M25" s="431"/>
      <c r="N25" s="431"/>
      <c r="O25" s="431"/>
      <c r="P25" s="495">
        <f t="shared" si="6"/>
        <v>3913044</v>
      </c>
      <c r="Q25" s="428" t="s">
        <v>523</v>
      </c>
      <c r="R25" s="428" t="s">
        <v>523</v>
      </c>
      <c r="S25" s="428" t="s">
        <v>523</v>
      </c>
      <c r="T25" s="428" t="s">
        <v>523</v>
      </c>
      <c r="U25" s="428" t="s">
        <v>523</v>
      </c>
      <c r="V25" s="350" t="s">
        <v>2</v>
      </c>
      <c r="W25" s="351">
        <v>91999904</v>
      </c>
      <c r="X25" s="352" t="s">
        <v>509</v>
      </c>
      <c r="Y25" s="352" t="s">
        <v>506</v>
      </c>
      <c r="Z25" s="353" t="s">
        <v>507</v>
      </c>
      <c r="AA25" s="354">
        <v>8000000</v>
      </c>
      <c r="AB25" s="352"/>
      <c r="AC25" s="355"/>
    </row>
    <row r="26" spans="1:29">
      <c r="A26" s="442" t="s">
        <v>494</v>
      </c>
      <c r="B26" s="326">
        <f>ROUND(B132*B91,0)</f>
        <v>500000</v>
      </c>
      <c r="C26" s="326">
        <f t="shared" ref="C26:O26" si="7">ROUND(C132*C91,0)</f>
        <v>405000</v>
      </c>
      <c r="D26" s="326">
        <f t="shared" si="7"/>
        <v>700000</v>
      </c>
      <c r="E26" s="326">
        <f t="shared" si="7"/>
        <v>0</v>
      </c>
      <c r="F26" s="326">
        <f t="shared" si="7"/>
        <v>0</v>
      </c>
      <c r="G26" s="326">
        <f t="shared" si="7"/>
        <v>0</v>
      </c>
      <c r="H26" s="326">
        <f t="shared" si="7"/>
        <v>5801250</v>
      </c>
      <c r="I26" s="326">
        <f t="shared" si="7"/>
        <v>0</v>
      </c>
      <c r="J26" s="326">
        <f t="shared" si="7"/>
        <v>3000000</v>
      </c>
      <c r="K26" s="326">
        <f t="shared" si="7"/>
        <v>800000</v>
      </c>
      <c r="L26" s="326">
        <f t="shared" si="7"/>
        <v>0</v>
      </c>
      <c r="M26" s="326">
        <f t="shared" si="7"/>
        <v>1000000</v>
      </c>
      <c r="N26" s="326">
        <f t="shared" si="7"/>
        <v>1000000</v>
      </c>
      <c r="O26" s="326">
        <f t="shared" si="7"/>
        <v>0</v>
      </c>
      <c r="P26" s="338">
        <f t="shared" si="6"/>
        <v>13206250</v>
      </c>
      <c r="Q26" s="373" t="s">
        <v>523</v>
      </c>
      <c r="R26" s="373" t="s">
        <v>523</v>
      </c>
      <c r="S26" s="373" t="s">
        <v>523</v>
      </c>
      <c r="T26" s="373" t="s">
        <v>523</v>
      </c>
      <c r="U26" s="89" t="s">
        <v>523</v>
      </c>
      <c r="V26" s="350" t="s">
        <v>2</v>
      </c>
      <c r="W26" s="351">
        <v>91999905</v>
      </c>
      <c r="X26" s="352" t="s">
        <v>505</v>
      </c>
      <c r="Y26" s="352" t="s">
        <v>506</v>
      </c>
      <c r="Z26" s="353" t="s">
        <v>507</v>
      </c>
      <c r="AA26" s="354">
        <v>8000000</v>
      </c>
      <c r="AB26" s="352"/>
      <c r="AC26" s="355"/>
    </row>
    <row r="27" spans="1:29">
      <c r="A27" s="454" t="s">
        <v>630</v>
      </c>
      <c r="B27" s="431"/>
      <c r="C27" s="431"/>
      <c r="D27" s="431"/>
      <c r="E27" s="431"/>
      <c r="F27" s="431"/>
      <c r="G27" s="431"/>
      <c r="H27" s="431"/>
      <c r="I27" s="431"/>
      <c r="J27" s="431">
        <f>'UAT1-Jan'!J25</f>
        <v>391304</v>
      </c>
      <c r="K27" s="431"/>
      <c r="L27" s="431"/>
      <c r="M27" s="431"/>
      <c r="N27" s="431"/>
      <c r="O27" s="431"/>
      <c r="P27" s="495">
        <f t="shared" si="6"/>
        <v>391304</v>
      </c>
      <c r="Q27" s="437" t="s">
        <v>523</v>
      </c>
      <c r="R27" s="437" t="s">
        <v>523</v>
      </c>
      <c r="S27" s="437" t="s">
        <v>523</v>
      </c>
      <c r="T27" s="437" t="s">
        <v>523</v>
      </c>
      <c r="U27" s="428" t="s">
        <v>523</v>
      </c>
      <c r="V27" s="350" t="s">
        <v>2</v>
      </c>
      <c r="W27" s="351">
        <v>91999907</v>
      </c>
      <c r="X27" s="352" t="s">
        <v>505</v>
      </c>
      <c r="Y27" s="352" t="s">
        <v>506</v>
      </c>
      <c r="Z27" s="353" t="s">
        <v>507</v>
      </c>
      <c r="AA27" s="354">
        <v>8000000</v>
      </c>
      <c r="AB27" s="352"/>
      <c r="AC27" s="355"/>
    </row>
    <row r="28" spans="1:29">
      <c r="A28" s="442" t="s">
        <v>566</v>
      </c>
      <c r="B28" s="326">
        <f>ROUND(B133*B91,0)</f>
        <v>1000000</v>
      </c>
      <c r="C28" s="326">
        <f t="shared" ref="C28:O28" si="8">ROUND(C133*C91,0)</f>
        <v>810000</v>
      </c>
      <c r="D28" s="326">
        <f t="shared" si="8"/>
        <v>1400000</v>
      </c>
      <c r="E28" s="326">
        <f t="shared" si="8"/>
        <v>0</v>
      </c>
      <c r="F28" s="326">
        <f t="shared" si="8"/>
        <v>0</v>
      </c>
      <c r="G28" s="326">
        <f t="shared" si="8"/>
        <v>0</v>
      </c>
      <c r="H28" s="326">
        <f t="shared" si="8"/>
        <v>11602500</v>
      </c>
      <c r="I28" s="326">
        <f t="shared" si="8"/>
        <v>0</v>
      </c>
      <c r="J28" s="326">
        <f t="shared" si="8"/>
        <v>6000000</v>
      </c>
      <c r="K28" s="326">
        <f t="shared" si="8"/>
        <v>1600000</v>
      </c>
      <c r="L28" s="326">
        <f t="shared" si="8"/>
        <v>0</v>
      </c>
      <c r="M28" s="326">
        <f t="shared" si="8"/>
        <v>1500000</v>
      </c>
      <c r="N28" s="326">
        <f t="shared" si="8"/>
        <v>1500000</v>
      </c>
      <c r="O28" s="326">
        <f t="shared" si="8"/>
        <v>0</v>
      </c>
      <c r="P28" s="338">
        <f t="shared" si="6"/>
        <v>25412500</v>
      </c>
      <c r="Q28" s="373" t="s">
        <v>523</v>
      </c>
      <c r="R28" s="373" t="s">
        <v>523</v>
      </c>
      <c r="S28" s="373" t="s">
        <v>523</v>
      </c>
      <c r="T28" s="373" t="s">
        <v>523</v>
      </c>
      <c r="U28" s="89" t="s">
        <v>523</v>
      </c>
      <c r="V28" s="350" t="s">
        <v>2</v>
      </c>
      <c r="W28" s="351">
        <v>91999907</v>
      </c>
      <c r="X28" s="352" t="s">
        <v>505</v>
      </c>
      <c r="Y28" s="352" t="s">
        <v>506</v>
      </c>
      <c r="Z28" s="353" t="s">
        <v>535</v>
      </c>
      <c r="AA28" s="354">
        <v>7000000</v>
      </c>
      <c r="AB28" s="352"/>
      <c r="AC28" s="355"/>
    </row>
    <row r="29" spans="1:29">
      <c r="A29" s="454" t="s">
        <v>631</v>
      </c>
      <c r="B29" s="431"/>
      <c r="C29" s="431"/>
      <c r="D29" s="431"/>
      <c r="E29" s="431"/>
      <c r="F29" s="431"/>
      <c r="G29" s="431"/>
      <c r="H29" s="431"/>
      <c r="I29" s="431"/>
      <c r="J29" s="431">
        <f>'UAT1-Jan'!J26</f>
        <v>782609</v>
      </c>
      <c r="K29" s="431"/>
      <c r="L29" s="431"/>
      <c r="M29" s="431"/>
      <c r="N29" s="431"/>
      <c r="O29" s="431"/>
      <c r="P29" s="495">
        <f t="shared" si="6"/>
        <v>782609</v>
      </c>
      <c r="Q29" s="437" t="s">
        <v>523</v>
      </c>
      <c r="R29" s="437" t="s">
        <v>523</v>
      </c>
      <c r="S29" s="437" t="s">
        <v>523</v>
      </c>
      <c r="T29" s="437" t="s">
        <v>523</v>
      </c>
      <c r="U29" s="428" t="s">
        <v>523</v>
      </c>
      <c r="V29" s="350" t="s">
        <v>2</v>
      </c>
      <c r="W29" s="351">
        <v>91999907</v>
      </c>
      <c r="X29" s="352" t="s">
        <v>596</v>
      </c>
      <c r="Y29" s="352" t="s">
        <v>506</v>
      </c>
      <c r="Z29" s="353">
        <v>7065</v>
      </c>
      <c r="AA29" s="354">
        <v>100</v>
      </c>
      <c r="AB29" s="438" t="s">
        <v>539</v>
      </c>
      <c r="AC29" s="439"/>
    </row>
    <row r="30" spans="1:29">
      <c r="A30" s="405" t="s">
        <v>426</v>
      </c>
      <c r="B30" s="325"/>
      <c r="C30" s="326"/>
      <c r="D30" s="326"/>
      <c r="E30" s="334"/>
      <c r="F30" s="326"/>
      <c r="G30" s="326">
        <f>ROUND(G131*AC74,0)</f>
        <v>11602500</v>
      </c>
      <c r="H30" s="326"/>
      <c r="I30" s="326"/>
      <c r="J30" s="326"/>
      <c r="K30" s="334"/>
      <c r="L30" s="334"/>
      <c r="M30" s="334"/>
      <c r="N30" s="334"/>
      <c r="O30" s="334">
        <f>ROUND(AC75*O131,0)</f>
        <v>2000000</v>
      </c>
      <c r="P30" s="338">
        <f t="shared" si="6"/>
        <v>13602500</v>
      </c>
      <c r="Q30" s="373" t="s">
        <v>523</v>
      </c>
      <c r="R30" s="373" t="s">
        <v>523</v>
      </c>
      <c r="S30" s="373"/>
      <c r="T30" s="373"/>
      <c r="U30" s="373"/>
      <c r="V30" s="350" t="s">
        <v>2</v>
      </c>
      <c r="W30" s="351">
        <v>91999908</v>
      </c>
      <c r="X30" s="352" t="s">
        <v>505</v>
      </c>
      <c r="Y30" s="352" t="s">
        <v>506</v>
      </c>
      <c r="Z30" s="353">
        <v>7065</v>
      </c>
      <c r="AA30" s="354">
        <v>100</v>
      </c>
      <c r="AB30" s="438" t="s">
        <v>539</v>
      </c>
      <c r="AC30" s="439"/>
    </row>
    <row r="31" spans="1:29">
      <c r="A31" s="445" t="s">
        <v>493</v>
      </c>
      <c r="B31" s="326">
        <f t="shared" ref="B31:O31" si="9">ROUND(B134*B91,0)</f>
        <v>3000000</v>
      </c>
      <c r="C31" s="326">
        <f t="shared" si="9"/>
        <v>2700000</v>
      </c>
      <c r="D31" s="326">
        <f t="shared" si="9"/>
        <v>3000000</v>
      </c>
      <c r="E31" s="326">
        <f t="shared" si="9"/>
        <v>3000000</v>
      </c>
      <c r="F31" s="326">
        <f t="shared" si="9"/>
        <v>2400000</v>
      </c>
      <c r="G31" s="326">
        <f t="shared" si="9"/>
        <v>0</v>
      </c>
      <c r="H31" s="326">
        <f t="shared" si="9"/>
        <v>0</v>
      </c>
      <c r="I31" s="326">
        <f t="shared" si="9"/>
        <v>0</v>
      </c>
      <c r="J31" s="326">
        <f t="shared" si="9"/>
        <v>0</v>
      </c>
      <c r="K31" s="326">
        <f t="shared" si="9"/>
        <v>0</v>
      </c>
      <c r="L31" s="326">
        <f t="shared" si="9"/>
        <v>0</v>
      </c>
      <c r="M31" s="326">
        <f t="shared" si="9"/>
        <v>0</v>
      </c>
      <c r="N31" s="326">
        <f t="shared" si="9"/>
        <v>0</v>
      </c>
      <c r="O31" s="326">
        <f t="shared" si="9"/>
        <v>0</v>
      </c>
      <c r="P31" s="338">
        <f t="shared" si="6"/>
        <v>14100000</v>
      </c>
      <c r="Q31" s="373" t="s">
        <v>523</v>
      </c>
      <c r="R31" s="373" t="s">
        <v>523</v>
      </c>
      <c r="S31" s="373"/>
      <c r="T31" s="373"/>
      <c r="U31" s="373"/>
      <c r="V31" s="350" t="s">
        <v>2</v>
      </c>
      <c r="W31" s="351">
        <v>91999907</v>
      </c>
      <c r="X31" s="352" t="s">
        <v>596</v>
      </c>
      <c r="Y31" s="352" t="s">
        <v>506</v>
      </c>
      <c r="Z31" s="353">
        <v>7070</v>
      </c>
      <c r="AA31" s="354">
        <v>200</v>
      </c>
      <c r="AB31" s="438" t="s">
        <v>539</v>
      </c>
      <c r="AC31" s="439"/>
    </row>
    <row r="32" spans="1:29">
      <c r="A32" s="442" t="s">
        <v>495</v>
      </c>
      <c r="B32" s="326">
        <f>ROUND(B135*B91,0)</f>
        <v>1500000</v>
      </c>
      <c r="C32" s="326">
        <f t="shared" ref="C32:O32" si="10">ROUND(C135*C91,0)</f>
        <v>1350000</v>
      </c>
      <c r="D32" s="326">
        <f t="shared" si="10"/>
        <v>1500000</v>
      </c>
      <c r="E32" s="326">
        <f t="shared" si="10"/>
        <v>0</v>
      </c>
      <c r="F32" s="326">
        <f t="shared" si="10"/>
        <v>0</v>
      </c>
      <c r="G32" s="326">
        <f t="shared" si="10"/>
        <v>0</v>
      </c>
      <c r="H32" s="326">
        <f t="shared" si="10"/>
        <v>1160250</v>
      </c>
      <c r="I32" s="326">
        <f t="shared" si="10"/>
        <v>0</v>
      </c>
      <c r="J32" s="326">
        <f t="shared" si="10"/>
        <v>0</v>
      </c>
      <c r="K32" s="326">
        <f t="shared" si="10"/>
        <v>0</v>
      </c>
      <c r="L32" s="326">
        <f t="shared" si="10"/>
        <v>0</v>
      </c>
      <c r="M32" s="326">
        <f t="shared" si="10"/>
        <v>0</v>
      </c>
      <c r="N32" s="326">
        <f t="shared" si="10"/>
        <v>0</v>
      </c>
      <c r="O32" s="326">
        <f t="shared" si="10"/>
        <v>0</v>
      </c>
      <c r="P32" s="338">
        <f t="shared" si="6"/>
        <v>5510250</v>
      </c>
      <c r="Q32" s="373" t="s">
        <v>523</v>
      </c>
      <c r="R32" s="373" t="s">
        <v>523</v>
      </c>
      <c r="S32" s="373"/>
      <c r="T32" s="373"/>
      <c r="U32" s="373"/>
      <c r="V32" s="350" t="s">
        <v>2</v>
      </c>
      <c r="W32" s="351">
        <v>91999908</v>
      </c>
      <c r="X32" s="352" t="s">
        <v>505</v>
      </c>
      <c r="Y32" s="352" t="s">
        <v>506</v>
      </c>
      <c r="Z32" s="353">
        <v>7070</v>
      </c>
      <c r="AA32" s="354">
        <v>200</v>
      </c>
      <c r="AB32" s="438" t="s">
        <v>539</v>
      </c>
      <c r="AC32" s="439"/>
    </row>
    <row r="33" spans="1:29">
      <c r="A33" s="442" t="s">
        <v>497</v>
      </c>
      <c r="B33" s="326">
        <f t="shared" ref="B33:O33" si="11">ROUND(B139*B91,0)</f>
        <v>2000000</v>
      </c>
      <c r="C33" s="326">
        <f t="shared" si="11"/>
        <v>1800000</v>
      </c>
      <c r="D33" s="326">
        <f t="shared" si="11"/>
        <v>2000000</v>
      </c>
      <c r="E33" s="326">
        <f t="shared" si="11"/>
        <v>0</v>
      </c>
      <c r="F33" s="326">
        <f t="shared" si="11"/>
        <v>0</v>
      </c>
      <c r="G33" s="326">
        <f t="shared" si="11"/>
        <v>0</v>
      </c>
      <c r="H33" s="326">
        <f t="shared" si="11"/>
        <v>0</v>
      </c>
      <c r="I33" s="326">
        <f t="shared" si="11"/>
        <v>0</v>
      </c>
      <c r="J33" s="326">
        <f t="shared" si="11"/>
        <v>0</v>
      </c>
      <c r="K33" s="326">
        <f t="shared" si="11"/>
        <v>0</v>
      </c>
      <c r="L33" s="326">
        <f t="shared" si="11"/>
        <v>0</v>
      </c>
      <c r="M33" s="326">
        <f t="shared" si="11"/>
        <v>0</v>
      </c>
      <c r="N33" s="326">
        <f t="shared" si="11"/>
        <v>0</v>
      </c>
      <c r="O33" s="326">
        <f t="shared" si="11"/>
        <v>0</v>
      </c>
      <c r="P33" s="338">
        <f t="shared" si="6"/>
        <v>5800000</v>
      </c>
      <c r="Q33" s="373" t="s">
        <v>523</v>
      </c>
      <c r="R33" s="373" t="s">
        <v>523</v>
      </c>
      <c r="S33" s="373"/>
      <c r="T33" s="373"/>
      <c r="U33" s="373"/>
      <c r="V33" s="350" t="s">
        <v>2</v>
      </c>
      <c r="W33" s="351">
        <v>91999901</v>
      </c>
      <c r="X33" s="352" t="s">
        <v>505</v>
      </c>
      <c r="Y33" s="352" t="s">
        <v>506</v>
      </c>
      <c r="Z33" s="353">
        <v>9140</v>
      </c>
      <c r="AA33" s="354"/>
      <c r="AB33" s="438">
        <v>0.76</v>
      </c>
      <c r="AC33" s="439"/>
    </row>
    <row r="34" spans="1:29">
      <c r="A34" s="436" t="s">
        <v>528</v>
      </c>
      <c r="B34" s="326">
        <f>ROUND(B136*B91,0)</f>
        <v>2000000</v>
      </c>
      <c r="C34" s="326">
        <f t="shared" ref="C34:O34" si="12">ROUND(C136*C91,0)</f>
        <v>1800000</v>
      </c>
      <c r="D34" s="326">
        <f t="shared" si="12"/>
        <v>2000000</v>
      </c>
      <c r="E34" s="326">
        <f t="shared" si="12"/>
        <v>0</v>
      </c>
      <c r="F34" s="326">
        <f t="shared" si="12"/>
        <v>0</v>
      </c>
      <c r="G34" s="326">
        <f t="shared" si="12"/>
        <v>0</v>
      </c>
      <c r="H34" s="326">
        <f t="shared" si="12"/>
        <v>4060875</v>
      </c>
      <c r="I34" s="326">
        <f t="shared" si="12"/>
        <v>5830256</v>
      </c>
      <c r="J34" s="326">
        <f t="shared" si="12"/>
        <v>0</v>
      </c>
      <c r="K34" s="326">
        <f t="shared" si="12"/>
        <v>0</v>
      </c>
      <c r="L34" s="326">
        <f t="shared" si="12"/>
        <v>0</v>
      </c>
      <c r="M34" s="326">
        <f t="shared" si="12"/>
        <v>0</v>
      </c>
      <c r="N34" s="326">
        <f t="shared" si="12"/>
        <v>0</v>
      </c>
      <c r="O34" s="326">
        <f t="shared" si="12"/>
        <v>0</v>
      </c>
      <c r="P34" s="338">
        <f t="shared" si="6"/>
        <v>15691131</v>
      </c>
      <c r="Q34" s="89" t="s">
        <v>523</v>
      </c>
      <c r="R34" s="89" t="s">
        <v>523</v>
      </c>
      <c r="S34" s="89" t="s">
        <v>523</v>
      </c>
      <c r="T34" s="89" t="s">
        <v>523</v>
      </c>
      <c r="U34" s="89" t="s">
        <v>523</v>
      </c>
      <c r="V34" s="350" t="s">
        <v>2</v>
      </c>
      <c r="W34" s="351">
        <v>91999907</v>
      </c>
      <c r="X34" s="352" t="s">
        <v>505</v>
      </c>
      <c r="Y34" s="352" t="s">
        <v>506</v>
      </c>
      <c r="Z34" s="353">
        <v>9140</v>
      </c>
      <c r="AA34" s="354"/>
      <c r="AB34" s="438">
        <v>0.56000000000000005</v>
      </c>
      <c r="AC34" s="439"/>
    </row>
    <row r="35" spans="1:29">
      <c r="A35" s="436" t="s">
        <v>1254</v>
      </c>
      <c r="B35" s="326"/>
      <c r="C35" s="326"/>
      <c r="D35" s="326">
        <f>ROUND(AA68*D91,0)</f>
        <v>3000000</v>
      </c>
      <c r="E35" s="326"/>
      <c r="F35" s="326"/>
      <c r="G35" s="326"/>
      <c r="H35" s="326">
        <f>ROUND(AA69*B4*H91,0)</f>
        <v>4641000</v>
      </c>
      <c r="I35" s="326"/>
      <c r="J35" s="326"/>
      <c r="K35" s="326"/>
      <c r="L35" s="326"/>
      <c r="M35" s="326"/>
      <c r="N35" s="326"/>
      <c r="O35" s="326"/>
      <c r="P35" s="338">
        <f t="shared" si="6"/>
        <v>7641000</v>
      </c>
      <c r="Q35" s="89" t="s">
        <v>523</v>
      </c>
      <c r="R35" s="89" t="s">
        <v>523</v>
      </c>
      <c r="S35" s="89"/>
      <c r="T35" s="89"/>
      <c r="U35" s="89"/>
      <c r="V35" s="350" t="s">
        <v>2</v>
      </c>
      <c r="W35" s="351">
        <v>91999902</v>
      </c>
      <c r="X35" s="438" t="s">
        <v>505</v>
      </c>
      <c r="Y35" s="352" t="s">
        <v>506</v>
      </c>
      <c r="Z35" s="353">
        <v>9150</v>
      </c>
      <c r="AA35" s="354"/>
      <c r="AB35" s="438">
        <v>1</v>
      </c>
      <c r="AC35" s="439"/>
    </row>
    <row r="36" spans="1:29">
      <c r="A36" s="405"/>
      <c r="B36" s="325"/>
      <c r="C36" s="326"/>
      <c r="D36" s="326"/>
      <c r="E36" s="326"/>
      <c r="F36" s="326"/>
      <c r="G36" s="326"/>
      <c r="H36" s="326"/>
      <c r="I36" s="326"/>
      <c r="J36" s="326"/>
      <c r="K36" s="326"/>
      <c r="L36" s="326"/>
      <c r="M36" s="326"/>
      <c r="N36" s="326"/>
      <c r="O36" s="326"/>
      <c r="P36" s="338"/>
      <c r="Q36" s="89"/>
      <c r="R36" s="89"/>
      <c r="S36" s="89"/>
      <c r="T36" s="89"/>
      <c r="U36" s="89"/>
      <c r="V36" s="350" t="s">
        <v>2</v>
      </c>
      <c r="W36" s="351">
        <v>91999907</v>
      </c>
      <c r="X36" s="438" t="s">
        <v>505</v>
      </c>
      <c r="Y36" s="352" t="s">
        <v>506</v>
      </c>
      <c r="Z36" s="353">
        <v>9150</v>
      </c>
      <c r="AA36" s="354"/>
      <c r="AB36" s="438">
        <v>1</v>
      </c>
      <c r="AC36" s="439"/>
    </row>
    <row r="37" spans="1:29">
      <c r="A37" s="409" t="s">
        <v>579</v>
      </c>
      <c r="B37" s="325"/>
      <c r="C37" s="326"/>
      <c r="D37" s="326"/>
      <c r="E37" s="334"/>
      <c r="F37" s="326"/>
      <c r="G37" s="326"/>
      <c r="H37" s="326"/>
      <c r="I37" s="326"/>
      <c r="J37" s="326"/>
      <c r="K37" s="334"/>
      <c r="L37" s="334"/>
      <c r="M37" s="334"/>
      <c r="N37" s="334"/>
      <c r="O37" s="334"/>
      <c r="P37" s="338"/>
      <c r="Q37" s="374"/>
      <c r="R37" s="374"/>
      <c r="S37" s="374"/>
      <c r="T37" s="374"/>
      <c r="U37" s="374"/>
      <c r="V37" s="350" t="s">
        <v>2</v>
      </c>
      <c r="W37" s="351">
        <v>91999913</v>
      </c>
      <c r="X37" s="438" t="s">
        <v>505</v>
      </c>
      <c r="Y37" s="352" t="s">
        <v>506</v>
      </c>
      <c r="Z37" s="353">
        <v>9150</v>
      </c>
      <c r="AA37" s="354"/>
      <c r="AB37" s="438">
        <v>1</v>
      </c>
      <c r="AC37" s="439"/>
    </row>
    <row r="38" spans="1:29">
      <c r="A38" s="445" t="s">
        <v>592</v>
      </c>
      <c r="B38" s="326">
        <f t="shared" ref="B38:O38" si="13">ROUND(B137*B91,0)</f>
        <v>1800000</v>
      </c>
      <c r="C38" s="326">
        <f t="shared" si="13"/>
        <v>1620000</v>
      </c>
      <c r="D38" s="326">
        <f t="shared" si="13"/>
        <v>1800000</v>
      </c>
      <c r="E38" s="326">
        <f t="shared" si="13"/>
        <v>1800000</v>
      </c>
      <c r="F38" s="326">
        <f t="shared" si="13"/>
        <v>1440000</v>
      </c>
      <c r="G38" s="326">
        <f t="shared" si="13"/>
        <v>0</v>
      </c>
      <c r="H38" s="326">
        <f t="shared" si="13"/>
        <v>0</v>
      </c>
      <c r="I38" s="326">
        <f t="shared" si="13"/>
        <v>0</v>
      </c>
      <c r="J38" s="326">
        <f t="shared" si="13"/>
        <v>0</v>
      </c>
      <c r="K38" s="326">
        <f t="shared" si="13"/>
        <v>0</v>
      </c>
      <c r="L38" s="326">
        <f t="shared" si="13"/>
        <v>0</v>
      </c>
      <c r="M38" s="326">
        <f t="shared" si="13"/>
        <v>0</v>
      </c>
      <c r="N38" s="326">
        <f t="shared" si="13"/>
        <v>0</v>
      </c>
      <c r="O38" s="326">
        <f t="shared" si="13"/>
        <v>0</v>
      </c>
      <c r="P38" s="338">
        <f>SUM(B38:O38)</f>
        <v>8460000</v>
      </c>
      <c r="Q38" s="373" t="s">
        <v>523</v>
      </c>
      <c r="R38" s="373"/>
      <c r="S38" s="373"/>
      <c r="T38" s="373"/>
      <c r="U38" s="373" t="s">
        <v>523</v>
      </c>
      <c r="V38" s="350" t="s">
        <v>747</v>
      </c>
      <c r="W38" s="351">
        <v>91999905</v>
      </c>
      <c r="X38" s="352" t="s">
        <v>748</v>
      </c>
      <c r="Y38" s="352" t="s">
        <v>506</v>
      </c>
      <c r="Z38" s="353" t="s">
        <v>749</v>
      </c>
      <c r="AA38" s="354"/>
      <c r="AB38" s="438">
        <v>1</v>
      </c>
      <c r="AC38" s="439"/>
    </row>
    <row r="39" spans="1:29">
      <c r="A39" s="442" t="s">
        <v>491</v>
      </c>
      <c r="B39" s="326">
        <f t="shared" ref="B39:O39" si="14">ROUND(B138*B91,0)</f>
        <v>0</v>
      </c>
      <c r="C39" s="326">
        <f t="shared" si="14"/>
        <v>657000</v>
      </c>
      <c r="D39" s="326">
        <f t="shared" si="14"/>
        <v>730000</v>
      </c>
      <c r="E39" s="326">
        <f t="shared" si="14"/>
        <v>0</v>
      </c>
      <c r="F39" s="326">
        <f t="shared" si="14"/>
        <v>0</v>
      </c>
      <c r="G39" s="326">
        <f t="shared" si="14"/>
        <v>0</v>
      </c>
      <c r="H39" s="326">
        <f t="shared" si="14"/>
        <v>0</v>
      </c>
      <c r="I39" s="326">
        <f t="shared" si="14"/>
        <v>0</v>
      </c>
      <c r="J39" s="326">
        <f t="shared" si="14"/>
        <v>0</v>
      </c>
      <c r="K39" s="326">
        <f t="shared" si="14"/>
        <v>730000</v>
      </c>
      <c r="L39" s="326">
        <f t="shared" si="14"/>
        <v>0</v>
      </c>
      <c r="M39" s="326">
        <f t="shared" si="14"/>
        <v>0</v>
      </c>
      <c r="N39" s="326">
        <f t="shared" si="14"/>
        <v>0</v>
      </c>
      <c r="O39" s="326">
        <f t="shared" si="14"/>
        <v>0</v>
      </c>
      <c r="P39" s="338">
        <f>SUM(B39:O39)</f>
        <v>2117000</v>
      </c>
      <c r="Q39" s="373" t="s">
        <v>523</v>
      </c>
      <c r="R39" s="373"/>
      <c r="S39" s="373"/>
      <c r="T39" s="373"/>
      <c r="U39" s="373" t="s">
        <v>523</v>
      </c>
      <c r="V39" s="350" t="s">
        <v>2</v>
      </c>
      <c r="W39" s="351">
        <v>91999901</v>
      </c>
      <c r="X39" s="352" t="s">
        <v>504</v>
      </c>
      <c r="Y39" s="352" t="s">
        <v>529</v>
      </c>
      <c r="Z39" s="353">
        <v>3501</v>
      </c>
      <c r="AA39" s="354">
        <v>1800000</v>
      </c>
      <c r="AB39" s="352"/>
      <c r="AC39" s="355"/>
    </row>
    <row r="40" spans="1:29">
      <c r="A40" s="405"/>
      <c r="B40" s="325"/>
      <c r="C40" s="326"/>
      <c r="D40" s="326"/>
      <c r="E40" s="334"/>
      <c r="F40" s="326"/>
      <c r="G40" s="326"/>
      <c r="H40" s="326"/>
      <c r="I40" s="326"/>
      <c r="J40" s="326"/>
      <c r="K40" s="334"/>
      <c r="L40" s="334"/>
      <c r="M40" s="334"/>
      <c r="N40" s="334"/>
      <c r="O40" s="334"/>
      <c r="P40" s="338"/>
      <c r="Q40" s="374"/>
      <c r="R40" s="374"/>
      <c r="S40" s="374"/>
      <c r="T40" s="374"/>
      <c r="U40" s="374"/>
      <c r="V40" s="350" t="s">
        <v>2</v>
      </c>
      <c r="W40" s="351">
        <v>91999902</v>
      </c>
      <c r="X40" s="352" t="s">
        <v>504</v>
      </c>
      <c r="Y40" s="352" t="s">
        <v>529</v>
      </c>
      <c r="Z40" s="353">
        <v>3501</v>
      </c>
      <c r="AA40" s="354">
        <v>1800000</v>
      </c>
      <c r="AB40" s="352"/>
      <c r="AC40" s="355"/>
    </row>
    <row r="41" spans="1:29">
      <c r="A41" s="409" t="s">
        <v>569</v>
      </c>
      <c r="B41" s="325"/>
      <c r="C41" s="326"/>
      <c r="D41" s="326"/>
      <c r="E41" s="334"/>
      <c r="F41" s="326"/>
      <c r="G41" s="326"/>
      <c r="H41" s="326"/>
      <c r="I41" s="326"/>
      <c r="J41" s="326"/>
      <c r="K41" s="334"/>
      <c r="L41" s="334"/>
      <c r="M41" s="334"/>
      <c r="N41" s="334"/>
      <c r="O41" s="334"/>
      <c r="P41" s="338"/>
      <c r="Q41" s="374"/>
      <c r="R41" s="374"/>
      <c r="S41" s="374"/>
      <c r="T41" s="374"/>
      <c r="U41" s="374"/>
      <c r="V41" s="350" t="s">
        <v>2</v>
      </c>
      <c r="W41" s="351">
        <v>91999903</v>
      </c>
      <c r="X41" s="352" t="s">
        <v>508</v>
      </c>
      <c r="Y41" s="352" t="s">
        <v>529</v>
      </c>
      <c r="Z41" s="353">
        <v>3501</v>
      </c>
      <c r="AA41" s="354">
        <v>1800000</v>
      </c>
      <c r="AB41" s="352"/>
      <c r="AC41" s="355"/>
    </row>
    <row r="42" spans="1:29">
      <c r="A42" s="408" t="s">
        <v>496</v>
      </c>
      <c r="B42" s="325"/>
      <c r="C42" s="326"/>
      <c r="D42" s="326"/>
      <c r="E42" s="334"/>
      <c r="F42" s="326"/>
      <c r="G42" s="326"/>
      <c r="H42" s="326">
        <f>ROUND(AA64*$B$4,0)</f>
        <v>11602500</v>
      </c>
      <c r="I42" s="326">
        <f>ROUND(AA65*$B$4,0)</f>
        <v>13923000</v>
      </c>
      <c r="J42" s="326"/>
      <c r="K42" s="334"/>
      <c r="L42" s="334"/>
      <c r="M42" s="334"/>
      <c r="N42" s="334"/>
      <c r="O42" s="334"/>
      <c r="P42" s="338">
        <f>SUM(B42:O42)</f>
        <v>25525500</v>
      </c>
      <c r="Q42" s="373"/>
      <c r="R42" s="373" t="s">
        <v>523</v>
      </c>
      <c r="S42" s="373"/>
      <c r="T42" s="373"/>
      <c r="U42" s="373"/>
      <c r="V42" s="350" t="s">
        <v>2</v>
      </c>
      <c r="W42" s="351">
        <v>91999904</v>
      </c>
      <c r="X42" s="352" t="s">
        <v>504</v>
      </c>
      <c r="Y42" s="352" t="s">
        <v>529</v>
      </c>
      <c r="Z42" s="353">
        <v>3501</v>
      </c>
      <c r="AA42" s="354">
        <v>1800000</v>
      </c>
      <c r="AB42" s="352"/>
      <c r="AC42" s="355"/>
    </row>
    <row r="43" spans="1:29">
      <c r="A43" s="436" t="s">
        <v>532</v>
      </c>
      <c r="B43" s="326">
        <f>IF(OR(B18="A",B18="B"),ROUND(ROUND(2369796*B19*B16*IF(B17&lt;3,0,IF(B17&lt;6,50%,100%)),0)*B13/365,0),ROUND(ROUND(2466.55*$B$4,0)*B16*B13/365,0))</f>
        <v>181793</v>
      </c>
      <c r="C43" s="326">
        <f>IF(OR(C18="A",C18="B"),ROUND(ROUND(2369796*C19*C16*IF(C17&lt;3,0,IF(C17&lt;6,50%,100%)),0)*C13/365,0),ROUND(ROUND(2466.55*$B$4,0)*C16*C13/365,0))</f>
        <v>327227</v>
      </c>
      <c r="D43" s="326"/>
      <c r="E43" s="326">
        <f>IF(OR(E18="A",E18="B"),ROUND(ROUND(2369796*E19*E16*IF(E17&lt;3,0,IF(E17&lt;6,50%,100%)),0)*E13/365,0),ROUND(ROUND(2466.55*$B$4,0)*E16*E13/365,0))</f>
        <v>272689</v>
      </c>
      <c r="F43" s="326"/>
      <c r="G43" s="326"/>
      <c r="H43" s="354">
        <f>(ROUND(2466.55*$B$4/365*H16,0)+ROUND(863.29*$B$4/365*H16,0))*H13</f>
        <v>2963740</v>
      </c>
      <c r="I43" s="326">
        <f>IF(OR(I18="A",I18="B"),ROUND(2369796/365*I16,0),ROUND(ROUND(2466.55*$B$4,0)/365*I16,0))*I19*IF(I17&lt;3,0,IF(I17&lt;6,50%,100%))</f>
        <v>0</v>
      </c>
      <c r="J43" s="326">
        <f t="shared" ref="J43:O43" si="15">IF(OR(J18="A",J18="B"),ROUND(2369796/365*J16,0),ROUND(ROUND(2466.55*$B$4,0)/365/J16,0))*J19</f>
        <v>0</v>
      </c>
      <c r="K43" s="326">
        <f t="shared" si="15"/>
        <v>0</v>
      </c>
      <c r="L43" s="326">
        <f t="shared" si="15"/>
        <v>0</v>
      </c>
      <c r="M43" s="326">
        <f t="shared" si="15"/>
        <v>0</v>
      </c>
      <c r="N43" s="326">
        <f t="shared" si="15"/>
        <v>0</v>
      </c>
      <c r="O43" s="326">
        <f t="shared" si="15"/>
        <v>0</v>
      </c>
      <c r="P43" s="339">
        <f>SUM(B43:O43)</f>
        <v>3745449</v>
      </c>
      <c r="Q43" s="374"/>
      <c r="R43" s="373" t="s">
        <v>523</v>
      </c>
      <c r="S43" s="374"/>
      <c r="T43" s="374"/>
      <c r="U43" s="374"/>
      <c r="V43" s="350" t="s">
        <v>2</v>
      </c>
      <c r="W43" s="351">
        <v>91999905</v>
      </c>
      <c r="X43" s="352" t="s">
        <v>504</v>
      </c>
      <c r="Y43" s="352" t="s">
        <v>529</v>
      </c>
      <c r="Z43" s="353">
        <v>3501</v>
      </c>
      <c r="AA43" s="354">
        <v>1800000</v>
      </c>
      <c r="AB43" s="352"/>
      <c r="AC43" s="355"/>
    </row>
    <row r="44" spans="1:29">
      <c r="A44" s="405"/>
      <c r="B44" s="325"/>
      <c r="C44" s="326"/>
      <c r="D44" s="326"/>
      <c r="E44" s="334"/>
      <c r="F44" s="362"/>
      <c r="G44" s="362"/>
      <c r="H44" s="362"/>
      <c r="I44" s="362"/>
      <c r="J44" s="362"/>
      <c r="K44" s="334"/>
      <c r="L44" s="334"/>
      <c r="M44" s="334"/>
      <c r="N44" s="334"/>
      <c r="O44" s="334"/>
      <c r="P44" s="338"/>
      <c r="Q44" s="373"/>
      <c r="R44" s="373"/>
      <c r="S44" s="373"/>
      <c r="T44" s="373"/>
      <c r="U44" s="373"/>
      <c r="V44" s="350" t="s">
        <v>2</v>
      </c>
      <c r="W44" s="351">
        <v>91999901</v>
      </c>
      <c r="X44" s="352" t="s">
        <v>504</v>
      </c>
      <c r="Y44" s="352" t="s">
        <v>529</v>
      </c>
      <c r="Z44" s="353">
        <v>3081</v>
      </c>
      <c r="AA44" s="354">
        <v>3000000</v>
      </c>
      <c r="AB44" s="352"/>
      <c r="AC44" s="355"/>
    </row>
    <row r="45" spans="1:29">
      <c r="A45" s="441" t="s">
        <v>61</v>
      </c>
      <c r="B45" s="359">
        <f t="shared" ref="B45:O45" si="16">SUM(B24:B39)</f>
        <v>16800000</v>
      </c>
      <c r="C45" s="360">
        <f t="shared" si="16"/>
        <v>15192000</v>
      </c>
      <c r="D45" s="360">
        <f t="shared" si="16"/>
        <v>23130000</v>
      </c>
      <c r="E45" s="360">
        <f t="shared" si="16"/>
        <v>13800000</v>
      </c>
      <c r="F45" s="360">
        <f t="shared" si="16"/>
        <v>15040000</v>
      </c>
      <c r="G45" s="360">
        <f t="shared" si="16"/>
        <v>11602500</v>
      </c>
      <c r="H45" s="360">
        <f t="shared" si="16"/>
        <v>78316875</v>
      </c>
      <c r="I45" s="360">
        <f t="shared" si="16"/>
        <v>68483756</v>
      </c>
      <c r="J45" s="360">
        <f t="shared" si="16"/>
        <v>44086957</v>
      </c>
      <c r="K45" s="360">
        <f t="shared" si="16"/>
        <v>11130000</v>
      </c>
      <c r="L45" s="360">
        <f t="shared" si="16"/>
        <v>90000000</v>
      </c>
      <c r="M45" s="360">
        <f t="shared" si="16"/>
        <v>7500000</v>
      </c>
      <c r="N45" s="360">
        <f t="shared" si="16"/>
        <v>9000000</v>
      </c>
      <c r="O45" s="658">
        <f t="shared" si="16"/>
        <v>2000000</v>
      </c>
      <c r="P45" s="338">
        <f>SUM(B45:O45)</f>
        <v>406082088</v>
      </c>
      <c r="Q45" s="373"/>
      <c r="R45" s="373"/>
      <c r="S45" s="373"/>
      <c r="T45" s="373"/>
      <c r="U45" s="373"/>
      <c r="V45" s="350" t="s">
        <v>2</v>
      </c>
      <c r="W45" s="351">
        <v>91999902</v>
      </c>
      <c r="X45" s="352" t="s">
        <v>504</v>
      </c>
      <c r="Y45" s="352" t="s">
        <v>529</v>
      </c>
      <c r="Z45" s="353">
        <v>3081</v>
      </c>
      <c r="AA45" s="354">
        <v>3000000</v>
      </c>
      <c r="AB45" s="352"/>
      <c r="AC45" s="355"/>
    </row>
    <row r="46" spans="1:29">
      <c r="A46" s="411"/>
      <c r="B46" s="325"/>
      <c r="C46" s="326"/>
      <c r="D46" s="326"/>
      <c r="E46" s="334"/>
      <c r="F46" s="326"/>
      <c r="G46" s="326"/>
      <c r="H46" s="326"/>
      <c r="I46" s="326"/>
      <c r="J46" s="326"/>
      <c r="K46" s="334"/>
      <c r="L46" s="334"/>
      <c r="M46" s="334"/>
      <c r="N46" s="334"/>
      <c r="O46" s="334"/>
      <c r="P46" s="338"/>
      <c r="Q46" s="373"/>
      <c r="R46" s="373"/>
      <c r="S46" s="373"/>
      <c r="T46" s="373"/>
      <c r="U46" s="373"/>
      <c r="V46" s="350" t="s">
        <v>2</v>
      </c>
      <c r="W46" s="351">
        <v>91999903</v>
      </c>
      <c r="X46" s="352" t="s">
        <v>508</v>
      </c>
      <c r="Y46" s="352" t="s">
        <v>529</v>
      </c>
      <c r="Z46" s="353">
        <v>3081</v>
      </c>
      <c r="AA46" s="354">
        <v>3000000</v>
      </c>
      <c r="AB46" s="352"/>
      <c r="AC46" s="355"/>
    </row>
    <row r="47" spans="1:29" ht="15.6">
      <c r="A47" s="412" t="s">
        <v>60</v>
      </c>
      <c r="B47" s="356"/>
      <c r="C47" s="356"/>
      <c r="D47" s="356"/>
      <c r="E47" s="364"/>
      <c r="F47" s="356"/>
      <c r="G47" s="356"/>
      <c r="H47" s="356"/>
      <c r="I47" s="356"/>
      <c r="J47" s="356"/>
      <c r="K47" s="364"/>
      <c r="L47" s="364"/>
      <c r="M47" s="364"/>
      <c r="N47" s="364"/>
      <c r="O47" s="364"/>
      <c r="P47" s="338"/>
      <c r="Q47" s="373"/>
      <c r="R47" s="373"/>
      <c r="S47" s="373"/>
      <c r="T47" s="373"/>
      <c r="U47" s="373"/>
      <c r="V47" s="350" t="s">
        <v>2</v>
      </c>
      <c r="W47" s="351">
        <v>91999904</v>
      </c>
      <c r="X47" s="352" t="s">
        <v>504</v>
      </c>
      <c r="Y47" s="352" t="s">
        <v>529</v>
      </c>
      <c r="Z47" s="353">
        <v>3081</v>
      </c>
      <c r="AA47" s="354">
        <v>3000000</v>
      </c>
      <c r="AB47" s="352"/>
      <c r="AC47" s="355"/>
    </row>
    <row r="48" spans="1:29">
      <c r="A48" s="407" t="s">
        <v>55</v>
      </c>
      <c r="B48" s="356"/>
      <c r="C48" s="356"/>
      <c r="D48" s="356"/>
      <c r="E48" s="364"/>
      <c r="F48" s="356"/>
      <c r="G48" s="356"/>
      <c r="H48" s="356"/>
      <c r="I48" s="356"/>
      <c r="J48" s="356"/>
      <c r="K48" s="364"/>
      <c r="L48" s="364"/>
      <c r="M48" s="364"/>
      <c r="N48" s="364"/>
      <c r="O48" s="364"/>
      <c r="P48" s="338"/>
      <c r="Q48" s="373"/>
      <c r="R48" s="373"/>
      <c r="S48" s="373"/>
      <c r="T48" s="373"/>
      <c r="U48" s="373"/>
      <c r="V48" s="350" t="s">
        <v>2</v>
      </c>
      <c r="W48" s="351">
        <v>91999905</v>
      </c>
      <c r="X48" s="352" t="s">
        <v>504</v>
      </c>
      <c r="Y48" s="352" t="s">
        <v>529</v>
      </c>
      <c r="Z48" s="353">
        <v>3081</v>
      </c>
      <c r="AA48" s="354">
        <v>3000000</v>
      </c>
      <c r="AB48" s="352"/>
      <c r="AC48" s="355"/>
    </row>
    <row r="49" spans="1:29">
      <c r="A49" s="98" t="s">
        <v>573</v>
      </c>
      <c r="B49" s="326">
        <f>ROUND(B100*'New Hire'!C54,0)</f>
        <v>800000</v>
      </c>
      <c r="C49" s="326">
        <f>ROUND(C100*'New Hire'!D54,0)</f>
        <v>673200</v>
      </c>
      <c r="D49" s="326">
        <f>ROUND(D100*'New Hire'!E54,0)</f>
        <v>0</v>
      </c>
      <c r="E49" s="326">
        <f>ROUND(E100*'New Hire'!F54,0)</f>
        <v>720000</v>
      </c>
      <c r="F49" s="326">
        <f>ROUND(F100*'New Hire'!G54,0)</f>
        <v>0</v>
      </c>
      <c r="G49" s="326">
        <f>ROUND(G100*'New Hire'!H54,0)</f>
        <v>0</v>
      </c>
      <c r="H49" s="326">
        <f>ROUND(H100*'New Hire'!I54,0)</f>
        <v>0</v>
      </c>
      <c r="I49" s="326">
        <f>ROUND(I100*'New Hire'!J54,0)</f>
        <v>0</v>
      </c>
      <c r="J49" s="326">
        <f>ROUND(J100*'New Hire'!K54,0)</f>
        <v>2224000</v>
      </c>
      <c r="K49" s="326">
        <f>ROUND(K100*'New Hire'!L54,0)</f>
        <v>0</v>
      </c>
      <c r="L49" s="326">
        <f>ROUND(L100*'New Hire'!M54,0)</f>
        <v>2224000</v>
      </c>
      <c r="M49" s="326">
        <f>ROUND(M100*'New Hire'!N54,0)</f>
        <v>0</v>
      </c>
      <c r="N49" s="326">
        <f>ROUND(N100*'New Hire'!O54,0)</f>
        <v>0</v>
      </c>
      <c r="O49" s="326">
        <f>ROUND(O100*'New Hire'!P54,0)</f>
        <v>0</v>
      </c>
      <c r="P49" s="338">
        <f t="shared" ref="P49:P56" si="17">SUM(B49:O49)</f>
        <v>6641200</v>
      </c>
      <c r="Q49" s="373"/>
      <c r="R49" s="373"/>
      <c r="S49" s="373"/>
      <c r="T49" s="373"/>
      <c r="U49" s="373"/>
      <c r="V49" s="350" t="s">
        <v>2</v>
      </c>
      <c r="W49" s="351">
        <v>91999901</v>
      </c>
      <c r="X49" s="352" t="s">
        <v>504</v>
      </c>
      <c r="Y49" s="352" t="s">
        <v>529</v>
      </c>
      <c r="Z49" s="353" t="s">
        <v>530</v>
      </c>
      <c r="AA49" s="354">
        <v>2000000</v>
      </c>
      <c r="AB49" s="352"/>
      <c r="AC49" s="355"/>
    </row>
    <row r="50" spans="1:29">
      <c r="A50" s="405" t="s">
        <v>574</v>
      </c>
      <c r="B50" s="326">
        <f>ROUND(MIN(B102,83600000)*'New Hire'!C57,0)</f>
        <v>100000</v>
      </c>
      <c r="C50" s="326">
        <f>ROUND(MIN(C102,83600000)*'New Hire'!D57,0)</f>
        <v>84150</v>
      </c>
      <c r="D50" s="326">
        <f>ROUND(MIN(D102,83600000)*'New Hire'!E57,0)</f>
        <v>126000</v>
      </c>
      <c r="E50" s="326">
        <f>ROUND(MIN(E102,83600000)*'New Hire'!F57,0)</f>
        <v>90000</v>
      </c>
      <c r="F50" s="326">
        <f>ROUND(MIN(F102,83600000)*'New Hire'!G57,0)</f>
        <v>0</v>
      </c>
      <c r="G50" s="326">
        <f>ROUND(MIN(G102,83600000)*'New Hire'!H57,0)</f>
        <v>0</v>
      </c>
      <c r="H50" s="326">
        <f>ROUND(MIN(H102,83600000)*'New Hire'!I57,0)</f>
        <v>0</v>
      </c>
      <c r="I50" s="326">
        <f>ROUND(MIN(I102,83600000)*'New Hire'!J57,0)</f>
        <v>0</v>
      </c>
      <c r="J50" s="326">
        <f>ROUND(MIN(J102,83600000)*'New Hire'!K57,0)</f>
        <v>390000</v>
      </c>
      <c r="K50" s="326">
        <f>ROUND(MIN(K102,83600000)*'New Hire'!L57,0)</f>
        <v>0</v>
      </c>
      <c r="L50" s="326">
        <f>ROUND(MIN(L102,83600000)*'New Hire'!M57,0)</f>
        <v>836000</v>
      </c>
      <c r="M50" s="326">
        <f>ROUND(MIN(M102,83600000)*'New Hire'!N57,0)</f>
        <v>0</v>
      </c>
      <c r="N50" s="326">
        <f>ROUND(MIN(N102,83600000)*'New Hire'!O57,0)</f>
        <v>0</v>
      </c>
      <c r="O50" s="326">
        <f>ROUND(MIN(O102,83600000)*'New Hire'!P57,0)</f>
        <v>0</v>
      </c>
      <c r="P50" s="338">
        <f t="shared" si="17"/>
        <v>1626150</v>
      </c>
      <c r="Q50" s="373"/>
      <c r="R50" s="373"/>
      <c r="S50" s="373"/>
      <c r="T50" s="373"/>
      <c r="U50" s="373"/>
      <c r="V50" s="350" t="s">
        <v>2</v>
      </c>
      <c r="W50" s="351">
        <v>91999902</v>
      </c>
      <c r="X50" s="352" t="s">
        <v>504</v>
      </c>
      <c r="Y50" s="352" t="s">
        <v>529</v>
      </c>
      <c r="Z50" s="353" t="s">
        <v>530</v>
      </c>
      <c r="AA50" s="354">
        <v>2000000</v>
      </c>
      <c r="AB50" s="352"/>
      <c r="AC50" s="355"/>
    </row>
    <row r="51" spans="1:29">
      <c r="A51" s="405" t="s">
        <v>575</v>
      </c>
      <c r="B51" s="326">
        <f>ROUND(B100*'New Hire'!C60,0)</f>
        <v>150000</v>
      </c>
      <c r="C51" s="326">
        <f>ROUND(C100*'New Hire'!D60,0)</f>
        <v>126225</v>
      </c>
      <c r="D51" s="326">
        <f>ROUND(D100*'New Hire'!E60,0)</f>
        <v>189000</v>
      </c>
      <c r="E51" s="326">
        <f>ROUND(E100*'New Hire'!F60,0)</f>
        <v>135000</v>
      </c>
      <c r="F51" s="326">
        <f>ROUND(F100*'New Hire'!G60,0)</f>
        <v>0</v>
      </c>
      <c r="G51" s="326">
        <f>ROUND(G100*'New Hire'!H60,0)</f>
        <v>0</v>
      </c>
      <c r="H51" s="326">
        <f>ROUND(H100*'New Hire'!I60,0)</f>
        <v>417000</v>
      </c>
      <c r="I51" s="326">
        <f>ROUND(I100*'New Hire'!J60,0)</f>
        <v>417000</v>
      </c>
      <c r="J51" s="326">
        <f>ROUND(J100*'New Hire'!K60,0)</f>
        <v>417000</v>
      </c>
      <c r="K51" s="326">
        <f>ROUND(K100*'New Hire'!L60,0)</f>
        <v>0</v>
      </c>
      <c r="L51" s="326">
        <f>ROUND(L100*'New Hire'!M60,0)</f>
        <v>417000</v>
      </c>
      <c r="M51" s="326">
        <f>ROUND(M100*'New Hire'!N60,0)</f>
        <v>0</v>
      </c>
      <c r="N51" s="326">
        <f>ROUND(N100*'New Hire'!O60,0)</f>
        <v>0</v>
      </c>
      <c r="O51" s="326">
        <f>ROUND(O100*'New Hire'!P60,0)</f>
        <v>0</v>
      </c>
      <c r="P51" s="338">
        <f t="shared" si="17"/>
        <v>2268225</v>
      </c>
      <c r="Q51" s="373"/>
      <c r="R51" s="373"/>
      <c r="S51" s="373"/>
      <c r="T51" s="373"/>
      <c r="U51" s="373"/>
      <c r="V51" s="350" t="s">
        <v>2</v>
      </c>
      <c r="W51" s="351">
        <v>91999903</v>
      </c>
      <c r="X51" s="352" t="s">
        <v>508</v>
      </c>
      <c r="Y51" s="352" t="s">
        <v>529</v>
      </c>
      <c r="Z51" s="353" t="s">
        <v>530</v>
      </c>
      <c r="AA51" s="354">
        <v>2000000</v>
      </c>
      <c r="AB51" s="352"/>
      <c r="AC51" s="355"/>
    </row>
    <row r="52" spans="1:29">
      <c r="A52" s="405" t="s">
        <v>846</v>
      </c>
      <c r="B52" s="326">
        <f>B111</f>
        <v>76590</v>
      </c>
      <c r="C52" s="326">
        <f t="shared" ref="C52:O52" si="18">C111</f>
        <v>0</v>
      </c>
      <c r="D52" s="326">
        <f t="shared" si="18"/>
        <v>518500</v>
      </c>
      <c r="E52" s="326">
        <f t="shared" si="18"/>
        <v>1227269</v>
      </c>
      <c r="F52" s="326">
        <f t="shared" si="18"/>
        <v>1360000</v>
      </c>
      <c r="G52" s="326">
        <f t="shared" si="18"/>
        <v>130125</v>
      </c>
      <c r="H52" s="326">
        <f t="shared" si="18"/>
        <v>18576623</v>
      </c>
      <c r="I52" s="326">
        <f t="shared" si="18"/>
        <v>16481351</v>
      </c>
      <c r="J52" s="326">
        <f t="shared" si="18"/>
        <v>4763989</v>
      </c>
      <c r="K52" s="326">
        <f t="shared" si="18"/>
        <v>70000</v>
      </c>
      <c r="L52" s="326">
        <f t="shared" si="18"/>
        <v>17406900</v>
      </c>
      <c r="M52" s="326">
        <f t="shared" si="18"/>
        <v>0</v>
      </c>
      <c r="N52" s="326">
        <f t="shared" si="18"/>
        <v>0</v>
      </c>
      <c r="O52" s="326">
        <f t="shared" si="18"/>
        <v>200000</v>
      </c>
      <c r="P52" s="338">
        <f t="shared" si="17"/>
        <v>60811347</v>
      </c>
      <c r="Q52" s="373"/>
      <c r="R52" s="373"/>
      <c r="S52" s="373"/>
      <c r="T52" s="373"/>
      <c r="U52" s="373"/>
      <c r="V52" s="350" t="s">
        <v>2</v>
      </c>
      <c r="W52" s="351">
        <v>91999907</v>
      </c>
      <c r="X52" s="352" t="s">
        <v>596</v>
      </c>
      <c r="Y52" s="352" t="s">
        <v>529</v>
      </c>
      <c r="Z52" s="353" t="s">
        <v>530</v>
      </c>
      <c r="AA52" s="354">
        <v>350</v>
      </c>
      <c r="AB52" s="352" t="s">
        <v>539</v>
      </c>
      <c r="AC52" s="355"/>
    </row>
    <row r="53" spans="1:29">
      <c r="A53" s="436" t="s">
        <v>512</v>
      </c>
      <c r="B53" s="326">
        <f t="shared" ref="B53:O53" si="19">B95-B67</f>
        <v>0</v>
      </c>
      <c r="C53" s="326">
        <f t="shared" si="19"/>
        <v>0</v>
      </c>
      <c r="D53" s="326">
        <f t="shared" si="19"/>
        <v>0</v>
      </c>
      <c r="E53" s="326">
        <f t="shared" si="19"/>
        <v>0</v>
      </c>
      <c r="F53" s="326">
        <f t="shared" si="19"/>
        <v>0</v>
      </c>
      <c r="G53" s="326">
        <f t="shared" si="19"/>
        <v>0</v>
      </c>
      <c r="H53" s="326">
        <f t="shared" si="19"/>
        <v>306849</v>
      </c>
      <c r="I53" s="326">
        <f t="shared" si="19"/>
        <v>0</v>
      </c>
      <c r="J53" s="326">
        <f t="shared" si="19"/>
        <v>0</v>
      </c>
      <c r="K53" s="326">
        <f t="shared" si="19"/>
        <v>0</v>
      </c>
      <c r="L53" s="326">
        <f t="shared" si="19"/>
        <v>0</v>
      </c>
      <c r="M53" s="326">
        <f t="shared" si="19"/>
        <v>0</v>
      </c>
      <c r="N53" s="326">
        <f t="shared" si="19"/>
        <v>0</v>
      </c>
      <c r="O53" s="326">
        <f t="shared" si="19"/>
        <v>0</v>
      </c>
      <c r="P53" s="338">
        <f t="shared" si="17"/>
        <v>306849</v>
      </c>
      <c r="Q53" s="373"/>
      <c r="R53" s="373"/>
      <c r="S53" s="373"/>
      <c r="T53" s="373"/>
      <c r="U53" s="374"/>
      <c r="V53" s="350" t="s">
        <v>2</v>
      </c>
      <c r="W53" s="351">
        <v>91999908</v>
      </c>
      <c r="X53" s="352" t="s">
        <v>505</v>
      </c>
      <c r="Y53" s="352" t="s">
        <v>529</v>
      </c>
      <c r="Z53" s="353" t="s">
        <v>530</v>
      </c>
      <c r="AA53" s="354">
        <v>335</v>
      </c>
      <c r="AB53" s="352" t="s">
        <v>539</v>
      </c>
      <c r="AC53" s="355"/>
    </row>
    <row r="54" spans="1:29">
      <c r="A54" s="436" t="s">
        <v>533</v>
      </c>
      <c r="B54" s="326">
        <f>IF(OR(B18="A",B18="B"),ROUND(2369796*B19*B16/365,0),ROUND(2466.55*$B$4*B19*B16/12,0))-B43</f>
        <v>0</v>
      </c>
      <c r="C54" s="326">
        <f>IF(OR(C18="A",C18="B"),ROUND(2369796*C19*C16/365,0),ROUND(2466.55*$B$4*C19*C16/12,0))-C43</f>
        <v>36358</v>
      </c>
      <c r="D54" s="326">
        <v>0</v>
      </c>
      <c r="E54" s="326">
        <f>IF(OR(E18="A",E18="B"),ROUND(2369796*E19*E16/365,0),ROUND(2466.55*$B$4*E19*E16/12,0))-E43</f>
        <v>272689</v>
      </c>
      <c r="F54" s="326">
        <f>IF(OR(F18="A",F18="B"),ROUND(2369796*F19*F16/365,0),ROUND(2466.55*$B$4*F19*F16/12,0))-F43</f>
        <v>0</v>
      </c>
      <c r="G54" s="326">
        <f>IF(OR(G18="A",G18="B"),ROUND(2369796*G19*G16/365,0),ROUND(2466.55*$B$4*G19*G16/12,0))-G43</f>
        <v>0</v>
      </c>
      <c r="H54" s="326">
        <f>ROUND((ROUND(2466.55*$B$4/365*H16,0)+ROUND(863.29*$B$4/365*H16,0)),0)-H43</f>
        <v>2963740</v>
      </c>
      <c r="I54" s="326">
        <f t="shared" ref="I54:O54" si="20">I43</f>
        <v>0</v>
      </c>
      <c r="J54" s="326">
        <f t="shared" si="20"/>
        <v>0</v>
      </c>
      <c r="K54" s="326">
        <f t="shared" si="20"/>
        <v>0</v>
      </c>
      <c r="L54" s="326">
        <f t="shared" si="20"/>
        <v>0</v>
      </c>
      <c r="M54" s="326">
        <f t="shared" si="20"/>
        <v>0</v>
      </c>
      <c r="N54" s="326">
        <f t="shared" si="20"/>
        <v>0</v>
      </c>
      <c r="O54" s="326">
        <f t="shared" si="20"/>
        <v>0</v>
      </c>
      <c r="P54" s="339">
        <f t="shared" si="17"/>
        <v>3272787</v>
      </c>
      <c r="Q54" s="373"/>
      <c r="R54" s="373"/>
      <c r="S54" s="373"/>
      <c r="T54" s="373"/>
      <c r="U54" s="374"/>
      <c r="V54" s="350" t="s">
        <v>2</v>
      </c>
      <c r="W54" s="351">
        <v>91999902</v>
      </c>
      <c r="X54" s="352" t="s">
        <v>504</v>
      </c>
      <c r="Y54" s="352" t="s">
        <v>529</v>
      </c>
      <c r="Z54" s="353">
        <v>3525</v>
      </c>
      <c r="AA54" s="354">
        <v>730000</v>
      </c>
      <c r="AB54" s="352"/>
      <c r="AC54" s="355"/>
    </row>
    <row r="55" spans="1:29">
      <c r="A55" s="436" t="s">
        <v>536</v>
      </c>
      <c r="B55" s="326">
        <f>B96</f>
        <v>0</v>
      </c>
      <c r="C55" s="326">
        <f t="shared" ref="C55:O55" si="21">C96</f>
        <v>0</v>
      </c>
      <c r="D55" s="326">
        <f t="shared" si="21"/>
        <v>0</v>
      </c>
      <c r="E55" s="326">
        <f t="shared" si="21"/>
        <v>0</v>
      </c>
      <c r="F55" s="326">
        <f t="shared" si="21"/>
        <v>0</v>
      </c>
      <c r="G55" s="326">
        <f t="shared" si="21"/>
        <v>0</v>
      </c>
      <c r="H55" s="326">
        <f t="shared" si="21"/>
        <v>536986</v>
      </c>
      <c r="I55" s="326">
        <f t="shared" si="21"/>
        <v>0</v>
      </c>
      <c r="J55" s="326">
        <f t="shared" si="21"/>
        <v>0</v>
      </c>
      <c r="K55" s="326">
        <f t="shared" si="21"/>
        <v>0</v>
      </c>
      <c r="L55" s="326">
        <f t="shared" si="21"/>
        <v>0</v>
      </c>
      <c r="M55" s="326">
        <f t="shared" si="21"/>
        <v>0</v>
      </c>
      <c r="N55" s="326">
        <f t="shared" si="21"/>
        <v>0</v>
      </c>
      <c r="O55" s="326">
        <f t="shared" si="21"/>
        <v>0</v>
      </c>
      <c r="P55" s="338">
        <f t="shared" si="17"/>
        <v>536986</v>
      </c>
      <c r="Q55" s="373"/>
      <c r="R55" s="373"/>
      <c r="S55" s="335"/>
      <c r="T55" s="335"/>
      <c r="U55" s="335"/>
      <c r="V55" s="350" t="s">
        <v>2</v>
      </c>
      <c r="W55" s="351">
        <v>91999903</v>
      </c>
      <c r="X55" s="352" t="s">
        <v>508</v>
      </c>
      <c r="Y55" s="352" t="s">
        <v>529</v>
      </c>
      <c r="Z55" s="353">
        <v>3525</v>
      </c>
      <c r="AA55" s="354">
        <v>730000</v>
      </c>
      <c r="AB55" s="352"/>
      <c r="AC55" s="355"/>
    </row>
    <row r="56" spans="1:29">
      <c r="A56" s="436" t="s">
        <v>537</v>
      </c>
      <c r="B56" s="326">
        <f t="shared" ref="B56:G56" si="22">IF(OR(B18="A",B18="B"),0,ROUND(ROUND(297.1*$B$4,0)/365*B16,0))*B19</f>
        <v>0</v>
      </c>
      <c r="C56" s="326">
        <f t="shared" si="22"/>
        <v>0</v>
      </c>
      <c r="D56" s="326">
        <f t="shared" si="22"/>
        <v>0</v>
      </c>
      <c r="E56" s="326">
        <f t="shared" si="22"/>
        <v>0</v>
      </c>
      <c r="F56" s="326">
        <f t="shared" si="22"/>
        <v>0</v>
      </c>
      <c r="G56" s="326">
        <f t="shared" si="22"/>
        <v>0</v>
      </c>
      <c r="H56" s="354">
        <f>ROUND((ROUND(297.1*$B$4,0)+ROUND(103.98*$B$4,0))*H16/365,0)</f>
        <v>713966</v>
      </c>
      <c r="I56" s="326">
        <f t="shared" ref="I56:O56" si="23">IF(OR(I18="A",I18="B"),0,ROUND(ROUND(297.1*$B$4,0)/365*I16,0))*I19</f>
        <v>0</v>
      </c>
      <c r="J56" s="326">
        <f t="shared" si="23"/>
        <v>0</v>
      </c>
      <c r="K56" s="326">
        <f t="shared" si="23"/>
        <v>0</v>
      </c>
      <c r="L56" s="326">
        <f t="shared" si="23"/>
        <v>0</v>
      </c>
      <c r="M56" s="326">
        <f t="shared" si="23"/>
        <v>0</v>
      </c>
      <c r="N56" s="326">
        <f t="shared" si="23"/>
        <v>0</v>
      </c>
      <c r="O56" s="394">
        <f t="shared" si="23"/>
        <v>0</v>
      </c>
      <c r="P56" s="340">
        <f t="shared" si="17"/>
        <v>713966</v>
      </c>
      <c r="Q56" s="341"/>
      <c r="R56" s="341"/>
      <c r="S56" s="341"/>
      <c r="T56" s="341"/>
      <c r="U56" s="341"/>
      <c r="V56" s="350" t="s">
        <v>2</v>
      </c>
      <c r="W56" s="351">
        <v>91999910</v>
      </c>
      <c r="X56" s="352" t="s">
        <v>505</v>
      </c>
      <c r="Y56" s="352" t="s">
        <v>529</v>
      </c>
      <c r="Z56" s="353">
        <v>3525</v>
      </c>
      <c r="AA56" s="354">
        <v>730000</v>
      </c>
      <c r="AB56" s="352"/>
      <c r="AC56" s="355"/>
    </row>
    <row r="57" spans="1:29">
      <c r="A57" s="405"/>
      <c r="B57" s="365"/>
      <c r="C57" s="366"/>
      <c r="D57" s="366"/>
      <c r="E57" s="367"/>
      <c r="F57" s="366"/>
      <c r="G57" s="366"/>
      <c r="H57" s="366"/>
      <c r="I57" s="366"/>
      <c r="J57" s="366"/>
      <c r="K57" s="367"/>
      <c r="L57" s="367"/>
      <c r="M57" s="367"/>
      <c r="N57" s="367"/>
      <c r="O57" s="397"/>
      <c r="P57" s="349"/>
      <c r="Q57" s="373"/>
      <c r="R57" s="373"/>
      <c r="S57" s="373"/>
      <c r="T57" s="373"/>
      <c r="U57" s="373"/>
      <c r="V57" s="350" t="s">
        <v>2</v>
      </c>
      <c r="W57" s="351">
        <v>91999901</v>
      </c>
      <c r="X57" s="352" t="s">
        <v>504</v>
      </c>
      <c r="Y57" s="352" t="s">
        <v>529</v>
      </c>
      <c r="Z57" s="353">
        <v>3100</v>
      </c>
      <c r="AA57" s="354">
        <v>1500000</v>
      </c>
      <c r="AB57" s="352"/>
      <c r="AC57" s="355"/>
    </row>
    <row r="58" spans="1:29">
      <c r="A58" s="413" t="s">
        <v>4</v>
      </c>
      <c r="B58" s="359">
        <f t="shared" ref="B58:O58" si="24">SUM(B49:B57)</f>
        <v>1126590</v>
      </c>
      <c r="C58" s="360">
        <f t="shared" si="24"/>
        <v>919933</v>
      </c>
      <c r="D58" s="360">
        <f t="shared" si="24"/>
        <v>833500</v>
      </c>
      <c r="E58" s="360">
        <f t="shared" si="24"/>
        <v>2444958</v>
      </c>
      <c r="F58" s="360">
        <f t="shared" si="24"/>
        <v>1360000</v>
      </c>
      <c r="G58" s="360">
        <f t="shared" si="24"/>
        <v>130125</v>
      </c>
      <c r="H58" s="360">
        <f t="shared" si="24"/>
        <v>23515164</v>
      </c>
      <c r="I58" s="360">
        <f t="shared" si="24"/>
        <v>16898351</v>
      </c>
      <c r="J58" s="360">
        <f t="shared" si="24"/>
        <v>7794989</v>
      </c>
      <c r="K58" s="360">
        <f t="shared" si="24"/>
        <v>70000</v>
      </c>
      <c r="L58" s="360">
        <f t="shared" si="24"/>
        <v>20883900</v>
      </c>
      <c r="M58" s="360">
        <f t="shared" si="24"/>
        <v>0</v>
      </c>
      <c r="N58" s="360">
        <f t="shared" si="24"/>
        <v>0</v>
      </c>
      <c r="O58" s="519">
        <f t="shared" si="24"/>
        <v>200000</v>
      </c>
      <c r="P58" s="349">
        <f>SUM(B58:O58)</f>
        <v>76177510</v>
      </c>
      <c r="Q58" s="373"/>
      <c r="R58" s="373"/>
      <c r="S58" s="373"/>
      <c r="T58" s="373"/>
      <c r="U58" s="373"/>
      <c r="V58" s="350" t="s">
        <v>2</v>
      </c>
      <c r="W58" s="351">
        <v>91999902</v>
      </c>
      <c r="X58" s="352" t="s">
        <v>504</v>
      </c>
      <c r="Y58" s="352" t="s">
        <v>529</v>
      </c>
      <c r="Z58" s="353">
        <v>3100</v>
      </c>
      <c r="AA58" s="354">
        <v>1500000</v>
      </c>
      <c r="AB58" s="352"/>
      <c r="AC58" s="355"/>
    </row>
    <row r="59" spans="1:29">
      <c r="A59" s="414"/>
      <c r="B59" s="325"/>
      <c r="C59" s="326"/>
      <c r="D59" s="326"/>
      <c r="E59" s="334"/>
      <c r="F59" s="326"/>
      <c r="G59" s="326"/>
      <c r="H59" s="326"/>
      <c r="I59" s="326"/>
      <c r="J59" s="326"/>
      <c r="K59" s="334"/>
      <c r="L59" s="334"/>
      <c r="M59" s="334"/>
      <c r="N59" s="334"/>
      <c r="O59" s="395"/>
      <c r="P59" s="349"/>
      <c r="Q59" s="373"/>
      <c r="R59" s="373"/>
      <c r="S59" s="373"/>
      <c r="T59" s="373"/>
      <c r="U59" s="373"/>
      <c r="V59" s="350" t="s">
        <v>2</v>
      </c>
      <c r="W59" s="351">
        <v>91999903</v>
      </c>
      <c r="X59" s="352" t="s">
        <v>1236</v>
      </c>
      <c r="Y59" s="352" t="s">
        <v>529</v>
      </c>
      <c r="Z59" s="353">
        <v>3100</v>
      </c>
      <c r="AA59" s="354">
        <v>1500000</v>
      </c>
      <c r="AB59" s="352"/>
      <c r="AC59" s="355"/>
    </row>
    <row r="60" spans="1:29" ht="14.4" thickBot="1">
      <c r="A60" s="410" t="s">
        <v>5</v>
      </c>
      <c r="B60" s="327">
        <f t="shared" ref="B60:O60" si="25">B45-B58</f>
        <v>15673410</v>
      </c>
      <c r="C60" s="328">
        <f t="shared" si="25"/>
        <v>14272067</v>
      </c>
      <c r="D60" s="328">
        <f t="shared" si="25"/>
        <v>22296500</v>
      </c>
      <c r="E60" s="328">
        <f t="shared" si="25"/>
        <v>11355042</v>
      </c>
      <c r="F60" s="328">
        <f t="shared" si="25"/>
        <v>13680000</v>
      </c>
      <c r="G60" s="328">
        <f t="shared" si="25"/>
        <v>11472375</v>
      </c>
      <c r="H60" s="328">
        <f t="shared" si="25"/>
        <v>54801711</v>
      </c>
      <c r="I60" s="328">
        <f t="shared" si="25"/>
        <v>51585405</v>
      </c>
      <c r="J60" s="328">
        <f t="shared" si="25"/>
        <v>36291968</v>
      </c>
      <c r="K60" s="328">
        <f t="shared" si="25"/>
        <v>11060000</v>
      </c>
      <c r="L60" s="328">
        <f t="shared" si="25"/>
        <v>69116100</v>
      </c>
      <c r="M60" s="328">
        <f t="shared" si="25"/>
        <v>7500000</v>
      </c>
      <c r="N60" s="328">
        <f t="shared" si="25"/>
        <v>9000000</v>
      </c>
      <c r="O60" s="398">
        <f t="shared" si="25"/>
        <v>1800000</v>
      </c>
      <c r="P60" s="349">
        <f>SUM(B60:O60)</f>
        <v>329904578</v>
      </c>
      <c r="Q60" s="373"/>
      <c r="R60" s="373"/>
      <c r="S60" s="373"/>
      <c r="T60" s="373"/>
      <c r="U60" s="373"/>
      <c r="V60" s="350" t="s">
        <v>2</v>
      </c>
      <c r="W60" s="351">
        <v>91999907</v>
      </c>
      <c r="X60" s="352" t="s">
        <v>596</v>
      </c>
      <c r="Y60" s="352" t="s">
        <v>529</v>
      </c>
      <c r="Z60" s="353">
        <v>3100</v>
      </c>
      <c r="AA60" s="354">
        <v>100</v>
      </c>
      <c r="AB60" s="438" t="s">
        <v>539</v>
      </c>
      <c r="AC60" s="439"/>
    </row>
    <row r="61" spans="1:29" ht="14.4" thickTop="1">
      <c r="A61" s="415"/>
      <c r="B61" s="325"/>
      <c r="C61" s="326"/>
      <c r="D61" s="326"/>
      <c r="E61" s="334"/>
      <c r="F61" s="326"/>
      <c r="G61" s="326"/>
      <c r="H61" s="326"/>
      <c r="I61" s="326"/>
      <c r="J61" s="326"/>
      <c r="K61" s="334"/>
      <c r="L61" s="334"/>
      <c r="M61" s="334"/>
      <c r="N61" s="334"/>
      <c r="O61" s="395"/>
      <c r="P61" s="349"/>
      <c r="Q61" s="373"/>
      <c r="R61" s="373"/>
      <c r="S61" s="373"/>
      <c r="T61" s="373"/>
      <c r="U61" s="373"/>
      <c r="V61" s="350" t="s">
        <v>2</v>
      </c>
      <c r="W61" s="351">
        <v>91999901</v>
      </c>
      <c r="X61" s="352" t="s">
        <v>504</v>
      </c>
      <c r="Y61" s="352" t="s">
        <v>529</v>
      </c>
      <c r="Z61" s="353">
        <v>3210</v>
      </c>
      <c r="AA61" s="354">
        <v>2000000</v>
      </c>
      <c r="AB61" s="438"/>
      <c r="AC61" s="439"/>
    </row>
    <row r="62" spans="1:29" ht="15.6">
      <c r="A62" s="404" t="s">
        <v>62</v>
      </c>
      <c r="B62" s="368"/>
      <c r="C62" s="399"/>
      <c r="D62" s="399"/>
      <c r="E62" s="364"/>
      <c r="F62" s="399"/>
      <c r="G62" s="399"/>
      <c r="H62" s="400"/>
      <c r="I62" s="399"/>
      <c r="J62" s="399"/>
      <c r="K62" s="364"/>
      <c r="L62" s="364"/>
      <c r="M62" s="364"/>
      <c r="N62" s="364"/>
      <c r="O62" s="377"/>
      <c r="P62" s="377"/>
      <c r="Q62" s="373"/>
      <c r="R62" s="373"/>
      <c r="S62" s="373"/>
      <c r="T62" s="373"/>
      <c r="U62" s="373"/>
      <c r="V62" s="350" t="s">
        <v>2</v>
      </c>
      <c r="W62" s="351">
        <v>91999902</v>
      </c>
      <c r="X62" s="352" t="s">
        <v>504</v>
      </c>
      <c r="Y62" s="352" t="s">
        <v>529</v>
      </c>
      <c r="Z62" s="353">
        <v>3210</v>
      </c>
      <c r="AA62" s="354">
        <v>2000000</v>
      </c>
      <c r="AB62" s="438"/>
      <c r="AC62" s="439"/>
    </row>
    <row r="63" spans="1:29">
      <c r="A63" s="417" t="s">
        <v>570</v>
      </c>
      <c r="B63" s="326">
        <f>ROUND(B100*'New Hire'!C55,0)</f>
        <v>1700000</v>
      </c>
      <c r="C63" s="326">
        <f>ROUND(C100*'New Hire'!D55,0)</f>
        <v>1472625</v>
      </c>
      <c r="D63" s="326">
        <f>ROUND(D100*'New Hire'!E55,0)</f>
        <v>63000</v>
      </c>
      <c r="E63" s="326">
        <f>ROUND(E100*'New Hire'!F55,0)</f>
        <v>1530000</v>
      </c>
      <c r="F63" s="326">
        <f>ROUND(F100*'New Hire'!G55,0)</f>
        <v>0</v>
      </c>
      <c r="G63" s="326">
        <f>ROUND(G100*'New Hire'!H55,0)</f>
        <v>0</v>
      </c>
      <c r="H63" s="326">
        <f>ROUND(H100*'New Hire'!I55,0)</f>
        <v>834000</v>
      </c>
      <c r="I63" s="326">
        <f>ROUND(I100*'New Hire'!J55,0)</f>
        <v>139000</v>
      </c>
      <c r="J63" s="326">
        <f>ROUND(J100*'New Hire'!K55,0)</f>
        <v>4726000</v>
      </c>
      <c r="K63" s="326">
        <f>ROUND(K100*'New Hire'!L55,0)</f>
        <v>0</v>
      </c>
      <c r="L63" s="326">
        <f>ROUND(L100*'New Hire'!M55,0)</f>
        <v>4726000</v>
      </c>
      <c r="M63" s="326">
        <f>ROUND(M100*'New Hire'!N55,0)</f>
        <v>0</v>
      </c>
      <c r="N63" s="326">
        <f>ROUND(N100*'New Hire'!O55,0)</f>
        <v>0</v>
      </c>
      <c r="O63" s="394">
        <f>ROUND(O100*'New Hire'!P55,0)</f>
        <v>0</v>
      </c>
      <c r="P63" s="340">
        <f t="shared" ref="P63:P80" si="26">SUM(B63:O63)</f>
        <v>15190625</v>
      </c>
      <c r="Q63" s="373"/>
      <c r="R63" s="373"/>
      <c r="S63" s="373"/>
      <c r="T63" s="373"/>
      <c r="U63" s="373"/>
      <c r="V63" s="350" t="s">
        <v>2</v>
      </c>
      <c r="W63" s="351">
        <v>91999903</v>
      </c>
      <c r="X63" s="352" t="s">
        <v>508</v>
      </c>
      <c r="Y63" s="352" t="s">
        <v>529</v>
      </c>
      <c r="Z63" s="353">
        <v>3210</v>
      </c>
      <c r="AA63" s="354">
        <v>2000000</v>
      </c>
      <c r="AB63" s="438"/>
      <c r="AC63" s="439"/>
    </row>
    <row r="64" spans="1:29">
      <c r="A64" s="436" t="s">
        <v>571</v>
      </c>
      <c r="B64" s="326">
        <f>ROUND(MIN(B102,83600000)*'New Hire'!C58,0)</f>
        <v>100000</v>
      </c>
      <c r="C64" s="326">
        <f>ROUND(MIN(C102,83600000)*'New Hire'!D58,0)</f>
        <v>84150</v>
      </c>
      <c r="D64" s="326">
        <f>ROUND(MIN(D102,83600000)*'New Hire'!E58,0)</f>
        <v>126000</v>
      </c>
      <c r="E64" s="326">
        <f>ROUND(MIN(E102,83600000)*'New Hire'!F58,0)</f>
        <v>90000</v>
      </c>
      <c r="F64" s="326">
        <f>ROUND(MIN(F102,83600000)*'New Hire'!G58,0)</f>
        <v>0</v>
      </c>
      <c r="G64" s="326">
        <f>ROUND(MIN(G102,83600000)*'New Hire'!H58,0)</f>
        <v>0</v>
      </c>
      <c r="H64" s="326">
        <f>ROUND(MIN(H102,83600000)*'New Hire'!I58,0)</f>
        <v>0</v>
      </c>
      <c r="I64" s="326">
        <f>ROUND(MIN(I102,83600000)*'New Hire'!J58,0)</f>
        <v>0</v>
      </c>
      <c r="J64" s="326">
        <f>ROUND(MIN(J102,83600000)*'New Hire'!K58,0)</f>
        <v>390000</v>
      </c>
      <c r="K64" s="326">
        <f>ROUND(MIN(K102,83600000)*'New Hire'!L58,0)</f>
        <v>0</v>
      </c>
      <c r="L64" s="326">
        <f>ROUND(MIN(L102,83600000)*'New Hire'!M58,0)</f>
        <v>836000</v>
      </c>
      <c r="M64" s="326">
        <f>ROUND(MIN(M102,83600000)*'New Hire'!N58,0)</f>
        <v>0</v>
      </c>
      <c r="N64" s="326">
        <f>ROUND(MIN(N102,83600000)*'New Hire'!O58,0)</f>
        <v>0</v>
      </c>
      <c r="O64" s="394">
        <f>ROUND(MIN(O102,83600000)*'New Hire'!P58,0)</f>
        <v>0</v>
      </c>
      <c r="P64" s="340">
        <f t="shared" si="26"/>
        <v>1626150</v>
      </c>
      <c r="Q64" s="373"/>
      <c r="R64" s="373"/>
      <c r="S64" s="373"/>
      <c r="T64" s="373"/>
      <c r="U64" s="373"/>
      <c r="V64" s="350" t="s">
        <v>2</v>
      </c>
      <c r="W64" s="351">
        <v>91999907</v>
      </c>
      <c r="X64" s="352" t="s">
        <v>596</v>
      </c>
      <c r="Y64" s="352" t="s">
        <v>529</v>
      </c>
      <c r="Z64" s="353">
        <v>3240</v>
      </c>
      <c r="AA64" s="354">
        <v>500</v>
      </c>
      <c r="AB64" s="438" t="s">
        <v>539</v>
      </c>
      <c r="AC64" s="439"/>
    </row>
    <row r="65" spans="1:29">
      <c r="A65" s="436" t="s">
        <v>572</v>
      </c>
      <c r="B65" s="326">
        <f>ROUND(B100*'New Hire'!C61,0)</f>
        <v>300000</v>
      </c>
      <c r="C65" s="326">
        <f>ROUND(C100*'New Hire'!D61,0)</f>
        <v>252450</v>
      </c>
      <c r="D65" s="326">
        <f>ROUND(D100*'New Hire'!E61,0)</f>
        <v>378000</v>
      </c>
      <c r="E65" s="326">
        <f>ROUND(E100*'New Hire'!F61,0)</f>
        <v>270000</v>
      </c>
      <c r="F65" s="326">
        <f>ROUND(F100*'New Hire'!G61,0)</f>
        <v>0</v>
      </c>
      <c r="G65" s="326">
        <f>ROUND(G100*'New Hire'!H61,0)</f>
        <v>0</v>
      </c>
      <c r="H65" s="326">
        <f>ROUND(H100*'New Hire'!I61,0)</f>
        <v>834000</v>
      </c>
      <c r="I65" s="326">
        <f>ROUND(I100*'New Hire'!J61,0)</f>
        <v>834000</v>
      </c>
      <c r="J65" s="326">
        <f>ROUND(J100*'New Hire'!K61,0)</f>
        <v>834000</v>
      </c>
      <c r="K65" s="326">
        <f>ROUND(K100*'New Hire'!L61,0)</f>
        <v>0</v>
      </c>
      <c r="L65" s="326">
        <f>ROUND(L100*'New Hire'!M61,0)</f>
        <v>834000</v>
      </c>
      <c r="M65" s="326">
        <f>ROUND(M100*'New Hire'!N61,0)</f>
        <v>0</v>
      </c>
      <c r="N65" s="326">
        <f>ROUND(N100*'New Hire'!O61,0)</f>
        <v>0</v>
      </c>
      <c r="O65" s="394">
        <f>ROUND(O100*'New Hire'!P61,0)</f>
        <v>0</v>
      </c>
      <c r="P65" s="340">
        <f t="shared" si="26"/>
        <v>4536450</v>
      </c>
      <c r="Q65" s="373"/>
      <c r="R65" s="373"/>
      <c r="S65" s="373"/>
      <c r="T65" s="373"/>
      <c r="U65" s="373"/>
      <c r="V65" s="350" t="s">
        <v>2</v>
      </c>
      <c r="W65" s="351">
        <v>91999908</v>
      </c>
      <c r="X65" s="352" t="s">
        <v>505</v>
      </c>
      <c r="Y65" s="352" t="s">
        <v>529</v>
      </c>
      <c r="Z65" s="353">
        <v>3240</v>
      </c>
      <c r="AA65" s="354">
        <v>600</v>
      </c>
      <c r="AB65" s="438" t="s">
        <v>539</v>
      </c>
      <c r="AC65" s="439"/>
    </row>
    <row r="66" spans="1:29">
      <c r="A66" s="405" t="s">
        <v>1071</v>
      </c>
      <c r="B66" s="326">
        <f>IF(B49+B63=0,0,ROUND(MIN(B100,29800000)*2%,0))</f>
        <v>200000</v>
      </c>
      <c r="C66" s="326">
        <f t="shared" ref="C66:O66" si="27">IF(C49+C63=0,0,ROUND(MIN(C100,29800000)*2%,0))</f>
        <v>168300</v>
      </c>
      <c r="D66" s="326">
        <f t="shared" si="27"/>
        <v>252000</v>
      </c>
      <c r="E66" s="326">
        <f t="shared" si="27"/>
        <v>180000</v>
      </c>
      <c r="F66" s="326">
        <f t="shared" si="27"/>
        <v>0</v>
      </c>
      <c r="G66" s="326">
        <f t="shared" si="27"/>
        <v>0</v>
      </c>
      <c r="H66" s="326">
        <f t="shared" si="27"/>
        <v>556000</v>
      </c>
      <c r="I66" s="326">
        <f t="shared" si="27"/>
        <v>556000</v>
      </c>
      <c r="J66" s="326">
        <f t="shared" si="27"/>
        <v>556000</v>
      </c>
      <c r="K66" s="326">
        <f t="shared" si="27"/>
        <v>0</v>
      </c>
      <c r="L66" s="326">
        <f t="shared" si="27"/>
        <v>556000</v>
      </c>
      <c r="M66" s="326">
        <f t="shared" si="27"/>
        <v>0</v>
      </c>
      <c r="N66" s="326">
        <f t="shared" si="27"/>
        <v>0</v>
      </c>
      <c r="O66" s="326">
        <f t="shared" si="27"/>
        <v>0</v>
      </c>
      <c r="P66" s="339">
        <f t="shared" si="26"/>
        <v>3024300</v>
      </c>
      <c r="Q66" s="373"/>
      <c r="R66" s="373"/>
      <c r="S66" s="373"/>
      <c r="T66" s="373"/>
      <c r="U66" s="373"/>
      <c r="V66" s="350" t="s">
        <v>2</v>
      </c>
      <c r="W66" s="351">
        <v>91999908</v>
      </c>
      <c r="X66" s="438" t="s">
        <v>837</v>
      </c>
      <c r="Y66" s="352" t="s">
        <v>529</v>
      </c>
      <c r="Z66" s="353">
        <v>3601</v>
      </c>
      <c r="AA66" s="354">
        <v>150</v>
      </c>
      <c r="AB66" s="438" t="s">
        <v>839</v>
      </c>
      <c r="AC66" s="439"/>
    </row>
    <row r="67" spans="1:29">
      <c r="A67" s="436" t="s">
        <v>510</v>
      </c>
      <c r="B67" s="326">
        <f t="shared" ref="B67:H67" si="28">IF(OR(B18="A",B18="B"),B95,ROUND(B95*B13,0))</f>
        <v>613699</v>
      </c>
      <c r="C67" s="326">
        <f t="shared" si="28"/>
        <v>613699</v>
      </c>
      <c r="D67" s="326">
        <f t="shared" si="28"/>
        <v>0</v>
      </c>
      <c r="E67" s="326">
        <f t="shared" si="28"/>
        <v>613699</v>
      </c>
      <c r="F67" s="326">
        <f t="shared" si="28"/>
        <v>613699</v>
      </c>
      <c r="G67" s="326">
        <f t="shared" si="28"/>
        <v>0</v>
      </c>
      <c r="H67" s="326">
        <f t="shared" si="28"/>
        <v>306850</v>
      </c>
      <c r="I67" s="326"/>
      <c r="J67" s="326"/>
      <c r="K67" s="334"/>
      <c r="L67" s="334"/>
      <c r="M67" s="334"/>
      <c r="N67" s="334"/>
      <c r="O67" s="334"/>
      <c r="P67" s="339">
        <f t="shared" si="26"/>
        <v>2761646</v>
      </c>
      <c r="Q67" s="374"/>
      <c r="R67" s="373"/>
      <c r="S67" s="374"/>
      <c r="T67" s="374"/>
      <c r="U67" s="374"/>
      <c r="V67" s="350" t="s">
        <v>2</v>
      </c>
      <c r="W67" s="351">
        <v>91999910</v>
      </c>
      <c r="X67" s="438" t="s">
        <v>838</v>
      </c>
      <c r="Y67" s="352" t="s">
        <v>529</v>
      </c>
      <c r="Z67" s="353">
        <v>3601</v>
      </c>
      <c r="AA67" s="354">
        <v>4000000</v>
      </c>
      <c r="AB67" s="438"/>
      <c r="AC67" s="439"/>
    </row>
    <row r="68" spans="1:29">
      <c r="A68" s="442" t="s">
        <v>836</v>
      </c>
      <c r="B68" s="326"/>
      <c r="C68" s="326"/>
      <c r="D68" s="326"/>
      <c r="E68" s="326"/>
      <c r="F68" s="326"/>
      <c r="G68" s="326"/>
      <c r="H68" s="326"/>
      <c r="I68" s="362">
        <f>ROUND(AA66*B4,0)</f>
        <v>3480750</v>
      </c>
      <c r="J68" s="362"/>
      <c r="K68" s="362">
        <f>AA67</f>
        <v>4000000</v>
      </c>
      <c r="L68" s="326"/>
      <c r="M68" s="326"/>
      <c r="N68" s="326"/>
      <c r="O68" s="326"/>
      <c r="P68" s="339">
        <f t="shared" si="26"/>
        <v>7480750</v>
      </c>
      <c r="Q68" s="373"/>
      <c r="R68" s="373"/>
      <c r="S68" s="373"/>
      <c r="T68" s="373"/>
      <c r="U68" s="373"/>
      <c r="V68" s="350" t="s">
        <v>1250</v>
      </c>
      <c r="W68" s="351">
        <v>91999903</v>
      </c>
      <c r="X68" s="438" t="s">
        <v>1255</v>
      </c>
      <c r="Y68" s="438" t="s">
        <v>1256</v>
      </c>
      <c r="Z68" s="353">
        <v>3160</v>
      </c>
      <c r="AA68" s="354">
        <v>3000000</v>
      </c>
      <c r="AB68" s="438"/>
      <c r="AC68" s="439"/>
    </row>
    <row r="69" spans="1:29">
      <c r="A69" s="405"/>
      <c r="B69" s="325"/>
      <c r="C69" s="326"/>
      <c r="D69" s="326"/>
      <c r="E69" s="334"/>
      <c r="F69" s="326"/>
      <c r="G69" s="326"/>
      <c r="H69" s="326"/>
      <c r="I69" s="326"/>
      <c r="J69" s="326"/>
      <c r="K69" s="334"/>
      <c r="L69" s="334"/>
      <c r="M69" s="334"/>
      <c r="N69" s="334"/>
      <c r="O69" s="334"/>
      <c r="P69" s="339"/>
      <c r="Q69" s="373"/>
      <c r="R69" s="373"/>
      <c r="S69" s="373"/>
      <c r="T69" s="373"/>
      <c r="U69" s="373"/>
      <c r="V69" s="350" t="s">
        <v>1250</v>
      </c>
      <c r="W69" s="351">
        <v>91999907</v>
      </c>
      <c r="X69" s="438" t="s">
        <v>1257</v>
      </c>
      <c r="Y69" s="438" t="s">
        <v>1256</v>
      </c>
      <c r="Z69" s="353">
        <v>3160</v>
      </c>
      <c r="AA69" s="354">
        <v>400</v>
      </c>
      <c r="AB69" s="438" t="s">
        <v>1258</v>
      </c>
      <c r="AC69" s="439"/>
    </row>
    <row r="70" spans="1:29" ht="15.6">
      <c r="A70" s="404" t="s">
        <v>474</v>
      </c>
      <c r="B70" s="325"/>
      <c r="C70" s="326"/>
      <c r="D70" s="326"/>
      <c r="E70" s="334"/>
      <c r="F70" s="326"/>
      <c r="G70" s="326"/>
      <c r="H70" s="326"/>
      <c r="I70" s="326"/>
      <c r="J70" s="326"/>
      <c r="K70" s="334"/>
      <c r="L70" s="334"/>
      <c r="M70" s="334"/>
      <c r="N70" s="334"/>
      <c r="O70" s="334"/>
      <c r="P70" s="339"/>
      <c r="Q70" s="373"/>
      <c r="R70" s="373"/>
      <c r="S70" s="373"/>
      <c r="T70" s="373"/>
      <c r="U70" s="373"/>
      <c r="V70" s="32"/>
      <c r="W70" s="44"/>
      <c r="X70" s="13"/>
      <c r="Y70" s="13"/>
      <c r="Z70" s="13"/>
      <c r="AA70" s="356"/>
      <c r="AB70" s="13"/>
      <c r="AC70" s="18"/>
    </row>
    <row r="71" spans="1:29">
      <c r="A71" s="436" t="s">
        <v>475</v>
      </c>
      <c r="B71" s="326">
        <f>IF(AND(OR(B11="1",B11="P"),'New Hire'!C28="Local"),ROUND(B147*B92,0),0)+'UAT1-Jan'!B68</f>
        <v>823755</v>
      </c>
      <c r="C71" s="326">
        <f>IF(AND(OR(C11="1",C11="P"),'New Hire'!D28="Local"),ROUND(C147*C92,0),0)+'UAT1-Jan'!C68</f>
        <v>667242</v>
      </c>
      <c r="D71" s="326">
        <f>IF(AND(OR(D11="1",D11="P"),'New Hire'!E28="Local"),ROUND(D147*D92,0),0)+'UAT1-Jan'!D68</f>
        <v>0</v>
      </c>
      <c r="E71" s="326">
        <f>IF(AND(OR(E11="1",E11="P"),'New Hire'!F28="Local"),ROUND(E147*E92,0),0)+'UAT1-Jan'!E68</f>
        <v>0</v>
      </c>
      <c r="F71" s="326">
        <f>IF(AND(OR(F11="1",F11="P"),'New Hire'!G28="Local"),ROUND(F147*F92,0),0)+'UAT1-Jan'!F68</f>
        <v>0</v>
      </c>
      <c r="G71" s="326">
        <f>IF(AND(OR(G11="1",G11="P"),'New Hire'!H28="Local"),ROUND(G147*G92,0),0)+'UAT1-Jan'!G68</f>
        <v>0</v>
      </c>
      <c r="H71" s="326">
        <f>IF(AND(OR(H11="1",H11="P"),'New Hire'!I28="Local"),ROUND(H147*H92,0),0)+'UAT1-Jan'!H68</f>
        <v>0</v>
      </c>
      <c r="I71" s="326">
        <f>IF(AND(OR(I11="1",I11="P"),'New Hire'!J28="Local"),ROUND(I147*I92,0),0)+'UAT1-Jan'!I68</f>
        <v>0</v>
      </c>
      <c r="J71" s="326">
        <f>IF(AND(OR(J11="1",J11="P"),'New Hire'!K28="Local"),ROUND(J147*J13*ROUND(J14/261,7),0)+'UAT1-Jan'!J68)</f>
        <v>2643681</v>
      </c>
      <c r="K71" s="326">
        <f>IF(AND(OR(K11="1",K11="P"),'New Hire'!L28="Local"),ROUND(K147*K92,0),0)+'UAT1-Jan'!K68</f>
        <v>1318008</v>
      </c>
      <c r="L71" s="326">
        <f>IF(AND(OR(L11="1",L11="P"),'New Hire'!M28="Local"),ROUND(L147*L92,0),0)+'UAT1-Jan'!L68</f>
        <v>14827590</v>
      </c>
      <c r="M71" s="326">
        <f>IF(AND(OR(M11="1",M11="P"),'New Hire'!N28="Local"),ROUND(M147*M92,0),0)+'UAT1-Jan'!M68</f>
        <v>0</v>
      </c>
      <c r="N71" s="326">
        <f>IF(AND(OR(N11="1",N11="P"),'New Hire'!O28="Local"),ROUND(N147*N92,0),0)+'UAT1-Jan'!N68</f>
        <v>0</v>
      </c>
      <c r="O71" s="326">
        <f>IF(AND(OR(O11="1",O11="P"),'New Hire'!P28="Local"),ROUND(O147*O92,0),0)+'UAT1-Jan'!O68</f>
        <v>0</v>
      </c>
      <c r="P71" s="339">
        <f t="shared" si="26"/>
        <v>20280276</v>
      </c>
      <c r="Q71" s="373"/>
      <c r="R71" s="373"/>
      <c r="S71" s="373"/>
      <c r="T71" s="373"/>
      <c r="U71" s="373"/>
      <c r="V71" s="32"/>
      <c r="W71" s="44"/>
      <c r="X71" s="13"/>
      <c r="Y71" s="13"/>
      <c r="Z71" s="13"/>
      <c r="AA71" s="356"/>
      <c r="AB71" s="13"/>
      <c r="AC71" s="18"/>
    </row>
    <row r="72" spans="1:29">
      <c r="A72" s="436" t="s">
        <v>482</v>
      </c>
      <c r="B72" s="584"/>
      <c r="C72" s="584">
        <f>'UAT1-Jan'!C69</f>
        <v>2.5</v>
      </c>
      <c r="D72" s="584"/>
      <c r="E72" s="584"/>
      <c r="F72" s="584"/>
      <c r="G72" s="584"/>
      <c r="H72" s="584">
        <f>CEILING(ROUND(('UAT1-Jan'!AB70+'UAT1-Jan'!H14+H14)/261,2),0.5)</f>
        <v>4.5</v>
      </c>
      <c r="I72" s="584">
        <f>CEILING(ROUND(('UAT1-Jan'!I14+I14)/261,2),0.5)</f>
        <v>0.5</v>
      </c>
      <c r="J72" s="584"/>
      <c r="K72" s="584"/>
      <c r="L72" s="584"/>
      <c r="M72" s="584"/>
      <c r="N72" s="584">
        <f>'UAT1-Jan'!N69</f>
        <v>1.5</v>
      </c>
      <c r="O72" s="584"/>
      <c r="P72" s="654">
        <f t="shared" si="26"/>
        <v>9</v>
      </c>
      <c r="Q72" s="373"/>
      <c r="R72" s="373"/>
      <c r="S72" s="373"/>
      <c r="T72" s="373"/>
      <c r="U72" s="373"/>
      <c r="V72" s="42"/>
      <c r="W72" s="43"/>
      <c r="X72" s="13"/>
      <c r="Y72" s="13"/>
      <c r="Z72" s="61"/>
      <c r="AA72" s="356"/>
      <c r="AB72" s="13"/>
      <c r="AC72" s="18"/>
    </row>
    <row r="73" spans="1:29">
      <c r="A73" s="436" t="s">
        <v>581</v>
      </c>
      <c r="B73" s="326">
        <f>B104+'UAT1-Jan'!B70</f>
        <v>20600000</v>
      </c>
      <c r="C73" s="326">
        <f>C104+'UAT1-Jan'!C70</f>
        <v>18684000</v>
      </c>
      <c r="D73" s="326">
        <f>D104+'UAT1-Jan'!D70</f>
        <v>24296957</v>
      </c>
      <c r="E73" s="326">
        <f>E104+'UAT1-Jan'!E70</f>
        <v>21600000</v>
      </c>
      <c r="F73" s="326">
        <f>F104+'UAT1-Jan'!F70</f>
        <v>25280000</v>
      </c>
      <c r="G73" s="326">
        <f>G104+'UAT1-Jan'!G70</f>
        <v>0</v>
      </c>
      <c r="H73" s="326">
        <f>H104+'UAT1-Jan'!H70</f>
        <v>145031250</v>
      </c>
      <c r="I73" s="326">
        <f>I104+'UAT1-Jan'!I70</f>
        <v>136967512</v>
      </c>
      <c r="J73" s="326">
        <f>J104+'UAT1-Jan'!J70</f>
        <v>78000000</v>
      </c>
      <c r="K73" s="326">
        <f>K104+'UAT1-Jan'!K70</f>
        <v>22260000</v>
      </c>
      <c r="L73" s="326">
        <f>L104+'UAT1-Jan'!L70</f>
        <v>180000000</v>
      </c>
      <c r="M73" s="326">
        <f>M104+'UAT1-Jan'!M70</f>
        <v>15000000</v>
      </c>
      <c r="N73" s="326">
        <f>N104+'UAT1-Jan'!N70</f>
        <v>18000000</v>
      </c>
      <c r="O73" s="326">
        <f>O104+'UAT1-Jan'!O70</f>
        <v>0</v>
      </c>
      <c r="P73" s="339">
        <f t="shared" si="26"/>
        <v>705719719</v>
      </c>
      <c r="Q73" s="373"/>
      <c r="R73" s="373"/>
      <c r="S73" s="373"/>
      <c r="T73" s="373"/>
      <c r="U73" s="373"/>
      <c r="V73" s="24" t="s">
        <v>57</v>
      </c>
      <c r="W73" s="37" t="s">
        <v>67</v>
      </c>
      <c r="X73" s="37" t="s">
        <v>69</v>
      </c>
      <c r="Y73" s="37" t="s">
        <v>70</v>
      </c>
      <c r="Z73" s="62" t="s">
        <v>424</v>
      </c>
      <c r="AA73" s="357" t="s">
        <v>425</v>
      </c>
      <c r="AB73" s="37" t="s">
        <v>56</v>
      </c>
      <c r="AC73" s="38" t="s">
        <v>675</v>
      </c>
    </row>
    <row r="74" spans="1:29">
      <c r="A74" s="405"/>
      <c r="B74" s="325"/>
      <c r="C74" s="326"/>
      <c r="D74" s="326"/>
      <c r="E74" s="334"/>
      <c r="F74" s="326"/>
      <c r="G74" s="326"/>
      <c r="H74" s="326"/>
      <c r="I74" s="326"/>
      <c r="J74" s="326"/>
      <c r="K74" s="334"/>
      <c r="L74" s="334"/>
      <c r="M74" s="334"/>
      <c r="N74" s="334"/>
      <c r="O74" s="334"/>
      <c r="P74" s="339"/>
      <c r="Q74" s="373"/>
      <c r="R74" s="373"/>
      <c r="S74" s="373"/>
      <c r="T74" s="373"/>
      <c r="U74" s="373"/>
      <c r="V74" s="49" t="s">
        <v>423</v>
      </c>
      <c r="W74" s="347">
        <v>91999906</v>
      </c>
      <c r="X74" s="283" t="s">
        <v>679</v>
      </c>
      <c r="Y74" s="283" t="s">
        <v>679</v>
      </c>
      <c r="Z74" s="286">
        <v>0.375</v>
      </c>
      <c r="AA74" s="286">
        <v>0.47916666666666669</v>
      </c>
      <c r="AB74" s="284">
        <v>9180</v>
      </c>
      <c r="AC74" s="467">
        <v>2.5</v>
      </c>
    </row>
    <row r="75" spans="1:29" ht="15.6">
      <c r="A75" s="404" t="s">
        <v>1228</v>
      </c>
      <c r="B75" s="468"/>
      <c r="C75" s="468"/>
      <c r="D75" s="468"/>
      <c r="E75" s="468"/>
      <c r="F75" s="468"/>
      <c r="G75" s="468"/>
      <c r="H75" s="468"/>
      <c r="I75" s="468"/>
      <c r="J75" s="559"/>
      <c r="K75" s="468"/>
      <c r="L75" s="468"/>
      <c r="M75" s="468"/>
      <c r="N75" s="468"/>
      <c r="O75" s="468"/>
      <c r="P75" s="339"/>
      <c r="Q75" s="373"/>
      <c r="R75" s="373"/>
      <c r="S75" s="373"/>
      <c r="T75" s="373"/>
      <c r="U75" s="373"/>
      <c r="V75" s="49" t="s">
        <v>422</v>
      </c>
      <c r="W75" s="347">
        <v>91999914</v>
      </c>
      <c r="X75" s="283" t="s">
        <v>680</v>
      </c>
      <c r="Y75" s="283" t="s">
        <v>680</v>
      </c>
      <c r="Z75" s="286">
        <v>0.375</v>
      </c>
      <c r="AA75" s="286">
        <v>0.47916666666666669</v>
      </c>
      <c r="AB75" s="284">
        <v>9180</v>
      </c>
      <c r="AC75" s="467">
        <v>2.5</v>
      </c>
    </row>
    <row r="76" spans="1:29">
      <c r="A76" s="462" t="s">
        <v>1286</v>
      </c>
      <c r="B76" s="334">
        <v>0</v>
      </c>
      <c r="C76" s="334">
        <v>0</v>
      </c>
      <c r="D76" s="334">
        <v>0</v>
      </c>
      <c r="E76" s="334">
        <v>0</v>
      </c>
      <c r="F76" s="334">
        <v>0</v>
      </c>
      <c r="G76" s="334">
        <v>0</v>
      </c>
      <c r="H76" s="334">
        <v>0</v>
      </c>
      <c r="I76" s="334">
        <v>0</v>
      </c>
      <c r="J76" s="444">
        <v>0</v>
      </c>
      <c r="K76" s="334">
        <v>0</v>
      </c>
      <c r="L76" s="334">
        <v>0</v>
      </c>
      <c r="M76" s="334">
        <v>0</v>
      </c>
      <c r="N76" s="334">
        <v>0</v>
      </c>
      <c r="O76" s="334">
        <f>O83*O118</f>
        <v>0</v>
      </c>
      <c r="P76" s="339">
        <f t="shared" si="26"/>
        <v>0</v>
      </c>
      <c r="Q76" s="373"/>
      <c r="R76" s="373"/>
      <c r="S76" s="373"/>
      <c r="T76" s="373"/>
      <c r="U76" s="373"/>
      <c r="V76" s="33"/>
      <c r="W76" s="45"/>
      <c r="X76" s="13"/>
      <c r="Y76" s="13"/>
      <c r="Z76" s="13"/>
      <c r="AA76" s="13"/>
      <c r="AB76" s="13"/>
      <c r="AC76" s="18"/>
    </row>
    <row r="77" spans="1:29">
      <c r="A77" s="462" t="s">
        <v>832</v>
      </c>
      <c r="B77" s="334">
        <f t="shared" ref="B77:O77" si="29">B117*B85</f>
        <v>7846080</v>
      </c>
      <c r="C77" s="334">
        <f t="shared" si="29"/>
        <v>6521472</v>
      </c>
      <c r="D77" s="334">
        <f t="shared" si="29"/>
        <v>10049483.34</v>
      </c>
      <c r="E77" s="334">
        <f t="shared" si="29"/>
        <v>8307680</v>
      </c>
      <c r="F77" s="334">
        <f t="shared" si="29"/>
        <v>10338432</v>
      </c>
      <c r="G77" s="334">
        <f t="shared" si="29"/>
        <v>0</v>
      </c>
      <c r="H77" s="334">
        <f t="shared" si="29"/>
        <v>70150480</v>
      </c>
      <c r="I77" s="334">
        <f t="shared" si="29"/>
        <v>0</v>
      </c>
      <c r="J77" s="334">
        <f t="shared" si="29"/>
        <v>33240000</v>
      </c>
      <c r="K77" s="334">
        <f t="shared" si="29"/>
        <v>9600000</v>
      </c>
      <c r="L77" s="334">
        <f t="shared" si="29"/>
        <v>83076960</v>
      </c>
      <c r="M77" s="334">
        <f t="shared" si="29"/>
        <v>6923040</v>
      </c>
      <c r="N77" s="334">
        <f t="shared" si="29"/>
        <v>8307680</v>
      </c>
      <c r="O77" s="334">
        <f t="shared" si="29"/>
        <v>0</v>
      </c>
      <c r="P77" s="339">
        <f t="shared" si="26"/>
        <v>254361307.34</v>
      </c>
      <c r="Q77" s="373"/>
      <c r="R77" s="373"/>
      <c r="S77" s="373"/>
      <c r="T77" s="373"/>
      <c r="U77" s="373"/>
      <c r="V77" s="33"/>
      <c r="W77" s="45"/>
      <c r="X77" s="13"/>
      <c r="Y77" s="13"/>
      <c r="Z77" s="13"/>
      <c r="AA77" s="13"/>
      <c r="AB77" s="13"/>
      <c r="AC77" s="18"/>
    </row>
    <row r="78" spans="1:29">
      <c r="A78" s="509" t="s">
        <v>1226</v>
      </c>
      <c r="B78" s="432"/>
      <c r="C78" s="432"/>
      <c r="D78" s="432"/>
      <c r="E78" s="432"/>
      <c r="F78" s="432"/>
      <c r="G78" s="432"/>
      <c r="H78" s="432"/>
      <c r="I78" s="432"/>
      <c r="J78" s="432">
        <f>'UAT1-Jan'!J74</f>
        <v>33240000</v>
      </c>
      <c r="K78" s="432"/>
      <c r="L78" s="432"/>
      <c r="M78" s="432"/>
      <c r="N78" s="432"/>
      <c r="O78" s="432"/>
      <c r="P78" s="657">
        <f t="shared" si="26"/>
        <v>33240000</v>
      </c>
      <c r="Q78" s="373"/>
      <c r="R78" s="373"/>
      <c r="S78" s="373"/>
      <c r="T78" s="373"/>
      <c r="U78" s="373"/>
      <c r="V78" s="32"/>
      <c r="W78" s="44"/>
      <c r="X78" s="13"/>
      <c r="Y78" s="13"/>
      <c r="Z78" s="13"/>
      <c r="AA78" s="13"/>
      <c r="AB78" s="13"/>
      <c r="AC78" s="18"/>
    </row>
    <row r="79" spans="1:29">
      <c r="A79" s="462" t="s">
        <v>833</v>
      </c>
      <c r="B79" s="334">
        <f>ROUND(ROUND(ROUND(ROUND((B147+B137+B138)*B13,0)*12*B15*AB33,0)/261,0)/10,0)+'UAT1-Jan'!B75</f>
        <v>1021719</v>
      </c>
      <c r="C79" s="334"/>
      <c r="D79" s="334"/>
      <c r="E79" s="334"/>
      <c r="F79" s="334"/>
      <c r="G79" s="334"/>
      <c r="H79" s="334">
        <f>ROUND(ROUND(ROUND(ROUND((H147+H137+H138)*H13,0)*12*H15*AB34,0)/261,0)/10,0)+'UAT1-Jan'!H75</f>
        <v>5651991</v>
      </c>
      <c r="I79" s="334"/>
      <c r="J79" s="444"/>
      <c r="K79" s="334"/>
      <c r="L79" s="334"/>
      <c r="M79" s="334"/>
      <c r="N79" s="334"/>
      <c r="O79" s="334"/>
      <c r="P79" s="339">
        <f t="shared" si="26"/>
        <v>6673710</v>
      </c>
      <c r="Q79" s="373"/>
      <c r="R79" s="373"/>
      <c r="S79" s="373"/>
      <c r="T79" s="373"/>
      <c r="U79" s="373"/>
      <c r="V79" s="34"/>
      <c r="W79" s="46"/>
      <c r="X79" s="35"/>
      <c r="Y79" s="35"/>
      <c r="Z79" s="35"/>
      <c r="AA79" s="35"/>
      <c r="AB79" s="35"/>
      <c r="AC79" s="36"/>
    </row>
    <row r="80" spans="1:29">
      <c r="A80" s="462" t="s">
        <v>834</v>
      </c>
      <c r="B80" s="334"/>
      <c r="C80" s="334">
        <f>ROUND(ROUND(C147*C91,0)*C72*50%,0)</f>
        <v>5062500</v>
      </c>
      <c r="D80" s="334"/>
      <c r="E80" s="334"/>
      <c r="F80" s="334"/>
      <c r="G80" s="334"/>
      <c r="H80" s="334">
        <f>ROUND(ROUND(H147*H91,0)*H72*50%,0)</f>
        <v>114864750</v>
      </c>
      <c r="I80" s="334"/>
      <c r="J80" s="334"/>
      <c r="K80" s="334"/>
      <c r="L80" s="334"/>
      <c r="M80" s="334"/>
      <c r="N80" s="334">
        <f>ROUND(ROUND(N147*N91,0)*N72*50%,0)</f>
        <v>4875000</v>
      </c>
      <c r="O80" s="334"/>
      <c r="P80" s="339">
        <f t="shared" si="26"/>
        <v>124802250</v>
      </c>
      <c r="Q80" s="373"/>
      <c r="R80" s="373"/>
      <c r="S80" s="373"/>
      <c r="T80" s="373"/>
      <c r="U80" s="373"/>
    </row>
    <row r="81" spans="1:29">
      <c r="A81" s="462"/>
      <c r="B81" s="468"/>
      <c r="C81" s="468"/>
      <c r="D81" s="468"/>
      <c r="E81" s="468"/>
      <c r="F81" s="468"/>
      <c r="G81" s="468"/>
      <c r="H81" s="468"/>
      <c r="I81" s="468"/>
      <c r="J81" s="559"/>
      <c r="K81" s="468"/>
      <c r="L81" s="468"/>
      <c r="M81" s="468"/>
      <c r="N81" s="468"/>
      <c r="O81" s="468"/>
      <c r="P81" s="339"/>
      <c r="Q81" s="373"/>
      <c r="R81" s="373"/>
      <c r="S81" s="373"/>
      <c r="T81" s="373"/>
      <c r="U81" s="373"/>
      <c r="V81"/>
      <c r="W81"/>
      <c r="X81"/>
      <c r="Y81"/>
      <c r="Z81"/>
      <c r="AA81"/>
      <c r="AB81"/>
      <c r="AC81"/>
    </row>
    <row r="82" spans="1:29" ht="15.6">
      <c r="A82" s="404" t="s">
        <v>483</v>
      </c>
      <c r="B82" s="325"/>
      <c r="C82" s="326"/>
      <c r="D82" s="326"/>
      <c r="E82" s="334"/>
      <c r="F82" s="326"/>
      <c r="G82" s="326"/>
      <c r="H82" s="326"/>
      <c r="I82" s="326"/>
      <c r="J82" s="326"/>
      <c r="K82" s="334"/>
      <c r="L82" s="334"/>
      <c r="M82" s="334"/>
      <c r="N82" s="334"/>
      <c r="O82" s="334"/>
      <c r="P82" s="339"/>
      <c r="Q82" s="335"/>
      <c r="R82" s="335"/>
      <c r="S82" s="335"/>
      <c r="T82" s="335"/>
      <c r="U82" s="335"/>
      <c r="V82"/>
      <c r="W82"/>
      <c r="X82"/>
      <c r="Y82"/>
      <c r="Z82"/>
      <c r="AA82"/>
      <c r="AB82"/>
      <c r="AC82"/>
    </row>
    <row r="83" spans="1:29">
      <c r="A83" s="436" t="s">
        <v>488</v>
      </c>
      <c r="B83" s="326">
        <f t="shared" ref="B83:O83" si="30">IF(B11&lt;&gt;"C",ROUND(B145*12/52/40,0),0)</f>
        <v>28846</v>
      </c>
      <c r="C83" s="326">
        <f t="shared" si="30"/>
        <v>25962</v>
      </c>
      <c r="D83" s="326">
        <f t="shared" si="30"/>
        <v>40385</v>
      </c>
      <c r="E83" s="326">
        <f t="shared" si="30"/>
        <v>51923</v>
      </c>
      <c r="F83" s="326">
        <f t="shared" si="30"/>
        <v>80769</v>
      </c>
      <c r="G83" s="326">
        <f t="shared" si="30"/>
        <v>0</v>
      </c>
      <c r="H83" s="326">
        <f t="shared" si="30"/>
        <v>629213</v>
      </c>
      <c r="I83" s="326">
        <f t="shared" si="30"/>
        <v>495338</v>
      </c>
      <c r="J83" s="326">
        <f t="shared" si="30"/>
        <v>288462</v>
      </c>
      <c r="K83" s="326">
        <f t="shared" si="30"/>
        <v>46154</v>
      </c>
      <c r="L83" s="326">
        <f t="shared" si="30"/>
        <v>519231</v>
      </c>
      <c r="M83" s="326">
        <f t="shared" si="30"/>
        <v>28846</v>
      </c>
      <c r="N83" s="326">
        <f t="shared" si="30"/>
        <v>37500</v>
      </c>
      <c r="O83" s="326">
        <f t="shared" si="30"/>
        <v>0</v>
      </c>
      <c r="P83" s="339">
        <f t="shared" ref="P83:P90" si="31">SUM(B83:O83)</f>
        <v>2272629</v>
      </c>
      <c r="Q83" s="335"/>
      <c r="R83" s="335"/>
      <c r="S83" s="335"/>
      <c r="T83" s="335"/>
      <c r="U83" s="335"/>
    </row>
    <row r="84" spans="1:29">
      <c r="A84" s="452" t="s">
        <v>1222</v>
      </c>
      <c r="B84" s="431"/>
      <c r="C84" s="431"/>
      <c r="D84" s="431"/>
      <c r="E84" s="431"/>
      <c r="F84" s="431"/>
      <c r="G84" s="431"/>
      <c r="H84" s="431"/>
      <c r="I84" s="431"/>
      <c r="J84" s="431">
        <f>'UAT1-Jan'!J79</f>
        <v>288462</v>
      </c>
      <c r="K84" s="431"/>
      <c r="L84" s="431"/>
      <c r="M84" s="431"/>
      <c r="N84" s="431"/>
      <c r="O84" s="431"/>
      <c r="P84" s="657">
        <f t="shared" si="31"/>
        <v>288462</v>
      </c>
      <c r="Q84" s="335"/>
      <c r="R84" s="335"/>
      <c r="S84" s="335"/>
      <c r="T84" s="335"/>
      <c r="U84" s="335"/>
    </row>
    <row r="85" spans="1:29">
      <c r="A85" s="436" t="s">
        <v>499</v>
      </c>
      <c r="B85" s="326">
        <f t="shared" ref="B85:O85" si="32">IF(B11&lt;&gt;"C",ROUND(SUM(B145,B132:B133,B136)*12/52/40,0),0)</f>
        <v>49038</v>
      </c>
      <c r="C85" s="326">
        <f t="shared" si="32"/>
        <v>45288</v>
      </c>
      <c r="D85" s="326">
        <f t="shared" si="32"/>
        <v>64038</v>
      </c>
      <c r="E85" s="326">
        <f t="shared" si="32"/>
        <v>51923</v>
      </c>
      <c r="F85" s="326">
        <f t="shared" si="32"/>
        <v>80769</v>
      </c>
      <c r="G85" s="326">
        <f t="shared" si="32"/>
        <v>0</v>
      </c>
      <c r="H85" s="326">
        <f t="shared" si="32"/>
        <v>876881</v>
      </c>
      <c r="I85" s="326">
        <f t="shared" si="32"/>
        <v>540186</v>
      </c>
      <c r="J85" s="326">
        <f t="shared" si="32"/>
        <v>375000</v>
      </c>
      <c r="K85" s="326">
        <f t="shared" si="32"/>
        <v>60000</v>
      </c>
      <c r="L85" s="326">
        <f t="shared" si="32"/>
        <v>519231</v>
      </c>
      <c r="M85" s="326">
        <f t="shared" si="32"/>
        <v>43269</v>
      </c>
      <c r="N85" s="326">
        <f t="shared" si="32"/>
        <v>51923</v>
      </c>
      <c r="O85" s="326">
        <f t="shared" si="32"/>
        <v>0</v>
      </c>
      <c r="P85" s="339">
        <f t="shared" si="31"/>
        <v>2757546</v>
      </c>
      <c r="Q85" s="335"/>
      <c r="R85" s="335"/>
      <c r="S85" s="335"/>
      <c r="T85" s="335"/>
      <c r="U85" s="335"/>
    </row>
    <row r="86" spans="1:29">
      <c r="A86" s="452" t="s">
        <v>1223</v>
      </c>
      <c r="B86" s="431"/>
      <c r="C86" s="431"/>
      <c r="D86" s="431"/>
      <c r="E86" s="431"/>
      <c r="F86" s="431"/>
      <c r="G86" s="431"/>
      <c r="H86" s="431"/>
      <c r="I86" s="431"/>
      <c r="J86" s="431">
        <f>'UAT1-Jan'!J80</f>
        <v>375000</v>
      </c>
      <c r="K86" s="431"/>
      <c r="L86" s="431"/>
      <c r="M86" s="431"/>
      <c r="N86" s="431"/>
      <c r="O86" s="431"/>
      <c r="P86" s="657">
        <f t="shared" si="31"/>
        <v>375000</v>
      </c>
      <c r="Q86" s="341"/>
      <c r="R86" s="341"/>
      <c r="S86" s="341"/>
      <c r="T86" s="341"/>
      <c r="U86" s="341"/>
    </row>
    <row r="87" spans="1:29">
      <c r="A87" s="436" t="s">
        <v>500</v>
      </c>
      <c r="B87" s="326">
        <f t="shared" ref="B87:O87" si="33">ROUND(B145/B15,0)</f>
        <v>250000</v>
      </c>
      <c r="C87" s="326">
        <f t="shared" si="33"/>
        <v>225000</v>
      </c>
      <c r="D87" s="326">
        <f t="shared" si="33"/>
        <v>350000</v>
      </c>
      <c r="E87" s="326">
        <f t="shared" si="33"/>
        <v>450000</v>
      </c>
      <c r="F87" s="326">
        <f t="shared" si="33"/>
        <v>700000</v>
      </c>
      <c r="G87" s="326">
        <f t="shared" si="33"/>
        <v>0</v>
      </c>
      <c r="H87" s="326">
        <f t="shared" si="33"/>
        <v>5453175</v>
      </c>
      <c r="I87" s="326">
        <f t="shared" si="33"/>
        <v>4292925</v>
      </c>
      <c r="J87" s="326">
        <f t="shared" si="33"/>
        <v>2500000</v>
      </c>
      <c r="K87" s="326">
        <f t="shared" si="33"/>
        <v>400000</v>
      </c>
      <c r="L87" s="326">
        <f t="shared" si="33"/>
        <v>4500000</v>
      </c>
      <c r="M87" s="326">
        <f t="shared" si="33"/>
        <v>250000</v>
      </c>
      <c r="N87" s="326">
        <f t="shared" si="33"/>
        <v>325000</v>
      </c>
      <c r="O87" s="326">
        <f t="shared" si="33"/>
        <v>0</v>
      </c>
      <c r="P87" s="339">
        <f t="shared" si="31"/>
        <v>19696100</v>
      </c>
      <c r="Q87" s="341"/>
      <c r="R87" s="341"/>
      <c r="S87" s="341"/>
      <c r="T87" s="341"/>
      <c r="U87" s="341"/>
    </row>
    <row r="88" spans="1:29">
      <c r="A88" s="452" t="s">
        <v>1224</v>
      </c>
      <c r="B88" s="431"/>
      <c r="C88" s="431"/>
      <c r="D88" s="431"/>
      <c r="E88" s="431"/>
      <c r="F88" s="431"/>
      <c r="G88" s="431"/>
      <c r="H88" s="431"/>
      <c r="I88" s="431"/>
      <c r="J88" s="431">
        <f>'UAT1-Jan'!J81</f>
        <v>2173913</v>
      </c>
      <c r="K88" s="431"/>
      <c r="L88" s="431"/>
      <c r="M88" s="431"/>
      <c r="N88" s="431"/>
      <c r="O88" s="431"/>
      <c r="P88" s="657">
        <f t="shared" si="31"/>
        <v>2173913</v>
      </c>
      <c r="Q88" s="341"/>
      <c r="R88" s="341"/>
      <c r="S88" s="341"/>
      <c r="T88" s="341"/>
      <c r="U88" s="341"/>
    </row>
    <row r="89" spans="1:29">
      <c r="A89" s="436" t="s">
        <v>621</v>
      </c>
      <c r="B89" s="326">
        <f t="shared" ref="B89:O89" si="34">ROUND(SUM(B132:B134,B136:B139)/B15,0)</f>
        <v>515000</v>
      </c>
      <c r="C89" s="326">
        <f t="shared" si="34"/>
        <v>544000</v>
      </c>
      <c r="D89" s="326">
        <f t="shared" si="34"/>
        <v>581500</v>
      </c>
      <c r="E89" s="326">
        <f t="shared" si="34"/>
        <v>240000</v>
      </c>
      <c r="F89" s="326">
        <f t="shared" si="34"/>
        <v>240000</v>
      </c>
      <c r="G89" s="326">
        <f t="shared" si="34"/>
        <v>0</v>
      </c>
      <c r="H89" s="326">
        <f t="shared" si="34"/>
        <v>2146463</v>
      </c>
      <c r="I89" s="326">
        <f t="shared" si="34"/>
        <v>388684</v>
      </c>
      <c r="J89" s="326">
        <f t="shared" si="34"/>
        <v>750000</v>
      </c>
      <c r="K89" s="326">
        <f t="shared" si="34"/>
        <v>156500</v>
      </c>
      <c r="L89" s="326">
        <f t="shared" si="34"/>
        <v>0</v>
      </c>
      <c r="M89" s="326">
        <f t="shared" si="34"/>
        <v>125000</v>
      </c>
      <c r="N89" s="326">
        <f t="shared" si="34"/>
        <v>125000</v>
      </c>
      <c r="O89" s="326">
        <f t="shared" si="34"/>
        <v>0</v>
      </c>
      <c r="P89" s="339">
        <f t="shared" si="31"/>
        <v>5812147</v>
      </c>
      <c r="Q89" s="341"/>
      <c r="R89" s="341"/>
      <c r="S89" s="341"/>
      <c r="T89" s="341"/>
      <c r="U89" s="341"/>
    </row>
    <row r="90" spans="1:29">
      <c r="A90" s="452" t="s">
        <v>1225</v>
      </c>
      <c r="B90" s="431"/>
      <c r="C90" s="431"/>
      <c r="D90" s="431"/>
      <c r="E90" s="431"/>
      <c r="F90" s="431"/>
      <c r="G90" s="431"/>
      <c r="H90" s="431"/>
      <c r="I90" s="431"/>
      <c r="J90" s="431">
        <f>'UAT1-Jan'!J82</f>
        <v>652174</v>
      </c>
      <c r="K90" s="431"/>
      <c r="L90" s="431"/>
      <c r="M90" s="431"/>
      <c r="N90" s="431"/>
      <c r="O90" s="431"/>
      <c r="P90" s="657">
        <f t="shared" si="31"/>
        <v>652174</v>
      </c>
      <c r="Q90" s="341"/>
      <c r="R90" s="341"/>
      <c r="S90" s="341"/>
      <c r="T90" s="341"/>
      <c r="U90" s="341"/>
    </row>
    <row r="91" spans="1:29">
      <c r="A91" s="436" t="s">
        <v>501</v>
      </c>
      <c r="B91" s="631">
        <f t="shared" ref="B91:O91" si="35">ROUND(B14/B15*B13,7)</f>
        <v>1</v>
      </c>
      <c r="C91" s="631">
        <f t="shared" si="35"/>
        <v>0.9</v>
      </c>
      <c r="D91" s="631">
        <f t="shared" si="35"/>
        <v>1</v>
      </c>
      <c r="E91" s="631">
        <f t="shared" si="35"/>
        <v>1</v>
      </c>
      <c r="F91" s="631">
        <f t="shared" si="35"/>
        <v>0.8</v>
      </c>
      <c r="G91" s="631">
        <f t="shared" si="35"/>
        <v>1</v>
      </c>
      <c r="H91" s="631">
        <f t="shared" si="35"/>
        <v>0.5</v>
      </c>
      <c r="I91" s="631">
        <f t="shared" si="35"/>
        <v>0.75</v>
      </c>
      <c r="J91" s="631">
        <f t="shared" si="35"/>
        <v>0.6</v>
      </c>
      <c r="K91" s="631">
        <f t="shared" si="35"/>
        <v>1</v>
      </c>
      <c r="L91" s="631">
        <f t="shared" si="35"/>
        <v>1</v>
      </c>
      <c r="M91" s="631">
        <f t="shared" si="35"/>
        <v>1</v>
      </c>
      <c r="N91" s="631">
        <f t="shared" si="35"/>
        <v>1</v>
      </c>
      <c r="O91" s="631">
        <f t="shared" si="35"/>
        <v>1</v>
      </c>
      <c r="P91" s="339"/>
      <c r="Q91" s="373"/>
      <c r="R91" s="373"/>
      <c r="S91" s="373"/>
      <c r="T91" s="373"/>
      <c r="U91" s="373"/>
    </row>
    <row r="92" spans="1:29">
      <c r="A92" s="436" t="s">
        <v>502</v>
      </c>
      <c r="B92" s="631">
        <f t="shared" ref="B92:O92" si="36">ROUND((B14-B140)*B13/261,7)</f>
        <v>7.6628399999999999E-2</v>
      </c>
      <c r="C92" s="631">
        <f t="shared" si="36"/>
        <v>6.8965499999999999E-2</v>
      </c>
      <c r="D92" s="631">
        <f t="shared" si="36"/>
        <v>7.6628399999999999E-2</v>
      </c>
      <c r="E92" s="631">
        <f t="shared" si="36"/>
        <v>7.6628399999999999E-2</v>
      </c>
      <c r="F92" s="631">
        <f t="shared" si="36"/>
        <v>6.1302700000000002E-2</v>
      </c>
      <c r="G92" s="631">
        <f t="shared" si="36"/>
        <v>7.6628399999999999E-2</v>
      </c>
      <c r="H92" s="631">
        <f t="shared" si="36"/>
        <v>3.83142E-2</v>
      </c>
      <c r="I92" s="631">
        <f t="shared" si="36"/>
        <v>5.7471300000000003E-2</v>
      </c>
      <c r="J92" s="631">
        <f t="shared" si="36"/>
        <v>4.5976999999999997E-2</v>
      </c>
      <c r="K92" s="631">
        <f t="shared" si="36"/>
        <v>7.6628399999999999E-2</v>
      </c>
      <c r="L92" s="631">
        <f t="shared" si="36"/>
        <v>7.6628399999999999E-2</v>
      </c>
      <c r="M92" s="631">
        <f t="shared" si="36"/>
        <v>7.6628399999999999E-2</v>
      </c>
      <c r="N92" s="631">
        <f t="shared" si="36"/>
        <v>7.6628399999999999E-2</v>
      </c>
      <c r="O92" s="631">
        <f t="shared" si="36"/>
        <v>7.6628399999999999E-2</v>
      </c>
      <c r="P92" s="339"/>
      <c r="Q92" s="373"/>
      <c r="R92" s="373"/>
      <c r="S92" s="373"/>
      <c r="T92" s="373"/>
      <c r="U92" s="373"/>
    </row>
    <row r="93" spans="1:29">
      <c r="A93" s="436" t="s">
        <v>503</v>
      </c>
      <c r="B93" s="631">
        <f t="shared" ref="B93:O93" si="37">ROUND(B142/B15,7)</f>
        <v>0</v>
      </c>
      <c r="C93" s="631">
        <f t="shared" si="37"/>
        <v>0</v>
      </c>
      <c r="D93" s="631">
        <f t="shared" si="37"/>
        <v>0</v>
      </c>
      <c r="E93" s="631">
        <f t="shared" si="37"/>
        <v>0</v>
      </c>
      <c r="F93" s="631">
        <f t="shared" si="37"/>
        <v>0</v>
      </c>
      <c r="G93" s="631">
        <f t="shared" si="37"/>
        <v>0</v>
      </c>
      <c r="H93" s="631">
        <f t="shared" si="37"/>
        <v>0</v>
      </c>
      <c r="I93" s="631">
        <f t="shared" si="37"/>
        <v>0</v>
      </c>
      <c r="J93" s="631">
        <f t="shared" si="37"/>
        <v>0</v>
      </c>
      <c r="K93" s="631">
        <f t="shared" si="37"/>
        <v>0</v>
      </c>
      <c r="L93" s="631">
        <f t="shared" si="37"/>
        <v>0</v>
      </c>
      <c r="M93" s="631">
        <f t="shared" si="37"/>
        <v>0</v>
      </c>
      <c r="N93" s="631">
        <f t="shared" si="37"/>
        <v>0</v>
      </c>
      <c r="O93" s="631">
        <f t="shared" si="37"/>
        <v>0</v>
      </c>
      <c r="P93" s="339"/>
      <c r="Q93" s="341"/>
      <c r="R93" s="341"/>
      <c r="S93" s="341"/>
      <c r="T93" s="341"/>
      <c r="U93" s="341"/>
    </row>
    <row r="94" spans="1:29">
      <c r="A94" s="436" t="s">
        <v>1237</v>
      </c>
      <c r="B94" s="631">
        <f t="shared" ref="B94:O94" si="38">ROUND(B15/20*B13,7)</f>
        <v>1</v>
      </c>
      <c r="C94" s="631">
        <f t="shared" si="38"/>
        <v>0.9</v>
      </c>
      <c r="D94" s="631">
        <f t="shared" si="38"/>
        <v>1</v>
      </c>
      <c r="E94" s="631">
        <f t="shared" si="38"/>
        <v>1</v>
      </c>
      <c r="F94" s="631">
        <f t="shared" si="38"/>
        <v>0.8</v>
      </c>
      <c r="G94" s="631">
        <f t="shared" si="38"/>
        <v>1</v>
      </c>
      <c r="H94" s="631">
        <f t="shared" si="38"/>
        <v>0.5</v>
      </c>
      <c r="I94" s="631">
        <f t="shared" si="38"/>
        <v>0.75</v>
      </c>
      <c r="J94" s="631">
        <f t="shared" si="38"/>
        <v>0.6</v>
      </c>
      <c r="K94" s="631">
        <f t="shared" si="38"/>
        <v>1</v>
      </c>
      <c r="L94" s="631">
        <f t="shared" si="38"/>
        <v>1</v>
      </c>
      <c r="M94" s="631">
        <f t="shared" si="38"/>
        <v>1</v>
      </c>
      <c r="N94" s="631">
        <f t="shared" si="38"/>
        <v>1</v>
      </c>
      <c r="O94" s="631">
        <f t="shared" si="38"/>
        <v>1</v>
      </c>
      <c r="P94" s="339"/>
      <c r="Q94" s="341"/>
      <c r="R94" s="341"/>
      <c r="S94" s="341"/>
      <c r="T94" s="341"/>
      <c r="U94" s="341"/>
    </row>
    <row r="95" spans="1:29">
      <c r="A95" s="408" t="s">
        <v>492</v>
      </c>
      <c r="B95" s="325">
        <f>ROUND(AA23*B16/365,0)</f>
        <v>613699</v>
      </c>
      <c r="C95" s="326">
        <f>ROUND(AA24*C16/365,0)</f>
        <v>613699</v>
      </c>
      <c r="E95" s="326">
        <f>ROUND(AA25*E16/365,0)</f>
        <v>613699</v>
      </c>
      <c r="F95" s="326">
        <f>ROUND(AA26*F16/365,0)</f>
        <v>613699</v>
      </c>
      <c r="G95" s="326"/>
      <c r="H95" s="326">
        <f>ROUND(AA27*G16/365,0)</f>
        <v>613699</v>
      </c>
      <c r="I95" s="326"/>
      <c r="J95" s="326"/>
      <c r="K95" s="334"/>
      <c r="L95" s="334"/>
      <c r="M95" s="334"/>
      <c r="N95" s="334"/>
      <c r="O95" s="395"/>
      <c r="P95" s="340">
        <f>SUM(B95:O95)</f>
        <v>3068495</v>
      </c>
      <c r="Q95" s="342"/>
      <c r="R95" s="342"/>
      <c r="S95" s="342"/>
      <c r="T95" s="342"/>
      <c r="U95" s="342"/>
    </row>
    <row r="96" spans="1:29">
      <c r="A96" s="405" t="s">
        <v>534</v>
      </c>
      <c r="B96" s="325"/>
      <c r="C96" s="326"/>
      <c r="E96" s="326"/>
      <c r="F96" s="326"/>
      <c r="G96" s="326"/>
      <c r="H96" s="326">
        <f>ROUND(AA28*G16/365,0)</f>
        <v>536986</v>
      </c>
      <c r="I96" s="326"/>
      <c r="J96" s="326"/>
      <c r="K96" s="326"/>
      <c r="L96" s="326"/>
      <c r="M96" s="326"/>
      <c r="N96" s="326"/>
      <c r="O96" s="394"/>
      <c r="P96" s="340">
        <f>SUM(B96:O96)</f>
        <v>536986</v>
      </c>
      <c r="Q96" s="341"/>
      <c r="R96" s="341"/>
      <c r="S96" s="341"/>
      <c r="T96" s="341"/>
      <c r="U96" s="341"/>
    </row>
    <row r="97" spans="1:21">
      <c r="A97" s="405"/>
      <c r="B97" s="325"/>
      <c r="C97" s="326"/>
      <c r="D97" s="326"/>
      <c r="E97" s="334"/>
      <c r="F97" s="326"/>
      <c r="G97" s="326"/>
      <c r="H97" s="326"/>
      <c r="I97" s="326"/>
      <c r="J97" s="326"/>
      <c r="K97" s="334"/>
      <c r="L97" s="334"/>
      <c r="M97" s="334"/>
      <c r="N97" s="334"/>
      <c r="O97" s="334"/>
      <c r="P97" s="339"/>
      <c r="Q97" s="341"/>
      <c r="R97" s="341"/>
      <c r="S97" s="341"/>
      <c r="T97" s="341"/>
      <c r="U97" s="341"/>
    </row>
    <row r="98" spans="1:21">
      <c r="A98" s="436" t="s">
        <v>576</v>
      </c>
      <c r="B98" s="326">
        <f t="shared" ref="B98:O98" si="39">SUM(B24:B39)</f>
        <v>16800000</v>
      </c>
      <c r="C98" s="326">
        <f t="shared" si="39"/>
        <v>15192000</v>
      </c>
      <c r="D98" s="326">
        <f t="shared" si="39"/>
        <v>23130000</v>
      </c>
      <c r="E98" s="326">
        <f t="shared" si="39"/>
        <v>13800000</v>
      </c>
      <c r="F98" s="326">
        <f t="shared" si="39"/>
        <v>15040000</v>
      </c>
      <c r="G98" s="326">
        <f t="shared" si="39"/>
        <v>11602500</v>
      </c>
      <c r="H98" s="326">
        <f t="shared" si="39"/>
        <v>78316875</v>
      </c>
      <c r="I98" s="326">
        <f t="shared" si="39"/>
        <v>68483756</v>
      </c>
      <c r="J98" s="326">
        <f t="shared" si="39"/>
        <v>44086957</v>
      </c>
      <c r="K98" s="326">
        <f t="shared" si="39"/>
        <v>11130000</v>
      </c>
      <c r="L98" s="326">
        <f t="shared" si="39"/>
        <v>90000000</v>
      </c>
      <c r="M98" s="326">
        <f t="shared" si="39"/>
        <v>7500000</v>
      </c>
      <c r="N98" s="326">
        <f t="shared" si="39"/>
        <v>9000000</v>
      </c>
      <c r="O98" s="326">
        <f t="shared" si="39"/>
        <v>2000000</v>
      </c>
      <c r="P98" s="339">
        <f t="shared" ref="P98:P107" si="40">SUM(B98:O98)</f>
        <v>406082088</v>
      </c>
      <c r="Q98" s="341"/>
      <c r="R98" s="341"/>
      <c r="S98" s="341"/>
      <c r="T98" s="341"/>
      <c r="U98" s="341"/>
    </row>
    <row r="99" spans="1:21">
      <c r="A99" s="436" t="s">
        <v>484</v>
      </c>
      <c r="B99" s="326">
        <f t="shared" ref="B99:O99" si="41">SUM(B24:B35,B42:B43)</f>
        <v>15181793</v>
      </c>
      <c r="C99" s="326">
        <f t="shared" si="41"/>
        <v>13242227</v>
      </c>
      <c r="D99" s="326">
        <f t="shared" si="41"/>
        <v>20600000</v>
      </c>
      <c r="E99" s="326">
        <f t="shared" si="41"/>
        <v>12272689</v>
      </c>
      <c r="F99" s="326">
        <f t="shared" si="41"/>
        <v>13600000</v>
      </c>
      <c r="G99" s="326">
        <f t="shared" si="41"/>
        <v>11602500</v>
      </c>
      <c r="H99" s="326">
        <f t="shared" si="41"/>
        <v>92883115</v>
      </c>
      <c r="I99" s="326">
        <f t="shared" si="41"/>
        <v>82406756</v>
      </c>
      <c r="J99" s="326">
        <f t="shared" si="41"/>
        <v>44086957</v>
      </c>
      <c r="K99" s="326">
        <f t="shared" si="41"/>
        <v>10400000</v>
      </c>
      <c r="L99" s="326">
        <f t="shared" si="41"/>
        <v>90000000</v>
      </c>
      <c r="M99" s="326">
        <f t="shared" si="41"/>
        <v>7500000</v>
      </c>
      <c r="N99" s="326">
        <f t="shared" si="41"/>
        <v>9000000</v>
      </c>
      <c r="O99" s="326">
        <f t="shared" si="41"/>
        <v>2000000</v>
      </c>
      <c r="P99" s="339">
        <f t="shared" si="40"/>
        <v>424776037</v>
      </c>
      <c r="Q99" s="341"/>
      <c r="R99" s="341"/>
      <c r="S99" s="341"/>
      <c r="T99" s="341"/>
      <c r="U99" s="341"/>
    </row>
    <row r="100" spans="1:21">
      <c r="A100" s="405" t="s">
        <v>578</v>
      </c>
      <c r="B100" s="326">
        <f t="shared" ref="B100:O100" si="42">MIN(IF(OR(B18="A",B18="B"),ROUND(SUM(B130,B132,B133,B135,B136)*B94,0),B149),27800000)</f>
        <v>10000000</v>
      </c>
      <c r="C100" s="326">
        <f t="shared" si="42"/>
        <v>8415000</v>
      </c>
      <c r="D100" s="326">
        <f t="shared" si="42"/>
        <v>12600000</v>
      </c>
      <c r="E100" s="326">
        <f t="shared" si="42"/>
        <v>9000000</v>
      </c>
      <c r="F100" s="326">
        <f t="shared" si="42"/>
        <v>11200000</v>
      </c>
      <c r="G100" s="326">
        <f t="shared" si="42"/>
        <v>0</v>
      </c>
      <c r="H100" s="354">
        <f t="shared" si="42"/>
        <v>27800000</v>
      </c>
      <c r="I100" s="354">
        <f t="shared" si="42"/>
        <v>27800000</v>
      </c>
      <c r="J100" s="354">
        <f t="shared" si="42"/>
        <v>27800000</v>
      </c>
      <c r="K100" s="326">
        <f t="shared" si="42"/>
        <v>10400000</v>
      </c>
      <c r="L100" s="326">
        <f t="shared" si="42"/>
        <v>27800000</v>
      </c>
      <c r="M100" s="326">
        <f t="shared" si="42"/>
        <v>7500000</v>
      </c>
      <c r="N100" s="326">
        <f t="shared" si="42"/>
        <v>9000000</v>
      </c>
      <c r="O100" s="326">
        <f t="shared" si="42"/>
        <v>0</v>
      </c>
      <c r="P100" s="339">
        <f t="shared" si="40"/>
        <v>189315000</v>
      </c>
      <c r="Q100" s="341"/>
      <c r="R100" s="341"/>
      <c r="S100" s="341"/>
      <c r="T100" s="341"/>
      <c r="U100" s="341"/>
    </row>
    <row r="101" spans="1:21">
      <c r="A101" s="488" t="s">
        <v>1217</v>
      </c>
      <c r="B101" s="431"/>
      <c r="C101" s="431"/>
      <c r="D101" s="431"/>
      <c r="E101" s="431"/>
      <c r="F101" s="431"/>
      <c r="G101" s="431"/>
      <c r="H101" s="431"/>
      <c r="I101" s="431"/>
      <c r="J101" s="431">
        <f>'UAT1-Jan'!J92</f>
        <v>27800000</v>
      </c>
      <c r="K101" s="431"/>
      <c r="L101" s="431"/>
      <c r="M101" s="431"/>
      <c r="N101" s="431"/>
      <c r="O101" s="431"/>
      <c r="P101" s="657">
        <f t="shared" si="40"/>
        <v>27800000</v>
      </c>
      <c r="Q101" s="341"/>
      <c r="R101" s="341"/>
      <c r="S101" s="341"/>
      <c r="T101" s="341"/>
      <c r="U101" s="341"/>
    </row>
    <row r="102" spans="1:21">
      <c r="A102" s="405" t="s">
        <v>1200</v>
      </c>
      <c r="B102" s="326">
        <f t="shared" ref="B102:O102" si="43">IF(B14&gt;B15/2,IF(OR(B18="A",B18="B"),ROUND(SUM(B130,B132,B133,B135,B136)*B94,0),B150),0)</f>
        <v>10000000</v>
      </c>
      <c r="C102" s="326">
        <f t="shared" si="43"/>
        <v>8415000</v>
      </c>
      <c r="D102" s="326">
        <f t="shared" si="43"/>
        <v>12600000</v>
      </c>
      <c r="E102" s="326">
        <f t="shared" si="43"/>
        <v>9000000</v>
      </c>
      <c r="F102" s="326">
        <f t="shared" si="43"/>
        <v>11200000</v>
      </c>
      <c r="G102" s="326">
        <f t="shared" si="43"/>
        <v>0</v>
      </c>
      <c r="H102" s="326">
        <f t="shared" si="43"/>
        <v>74612500</v>
      </c>
      <c r="I102" s="326">
        <f t="shared" si="43"/>
        <v>69348500</v>
      </c>
      <c r="J102" s="326">
        <f t="shared" si="43"/>
        <v>39000000</v>
      </c>
      <c r="K102" s="326">
        <f t="shared" si="43"/>
        <v>10400000</v>
      </c>
      <c r="L102" s="326">
        <f t="shared" si="43"/>
        <v>90000000</v>
      </c>
      <c r="M102" s="326">
        <f t="shared" si="43"/>
        <v>7500000</v>
      </c>
      <c r="N102" s="326">
        <f t="shared" si="43"/>
        <v>9000000</v>
      </c>
      <c r="O102" s="326">
        <f t="shared" si="43"/>
        <v>0</v>
      </c>
      <c r="P102" s="339">
        <f t="shared" si="40"/>
        <v>351076000</v>
      </c>
      <c r="Q102" s="341"/>
      <c r="R102" s="341"/>
      <c r="S102" s="341"/>
      <c r="T102" s="341"/>
      <c r="U102" s="341"/>
    </row>
    <row r="103" spans="1:21">
      <c r="A103" s="488" t="s">
        <v>1218</v>
      </c>
      <c r="B103" s="431"/>
      <c r="C103" s="431"/>
      <c r="D103" s="431"/>
      <c r="E103" s="431"/>
      <c r="F103" s="431"/>
      <c r="G103" s="431"/>
      <c r="H103" s="431"/>
      <c r="I103" s="431"/>
      <c r="J103" s="431">
        <f>'UAT1-Jan'!J93</f>
        <v>39000000</v>
      </c>
      <c r="K103" s="431"/>
      <c r="L103" s="431"/>
      <c r="M103" s="431"/>
      <c r="N103" s="431"/>
      <c r="O103" s="431"/>
      <c r="P103" s="657">
        <f t="shared" si="40"/>
        <v>39000000</v>
      </c>
      <c r="Q103" s="341"/>
      <c r="R103" s="341"/>
      <c r="S103" s="341"/>
      <c r="T103" s="341"/>
      <c r="U103" s="341"/>
    </row>
    <row r="104" spans="1:21">
      <c r="A104" s="405" t="s">
        <v>580</v>
      </c>
      <c r="B104" s="326">
        <f t="shared" ref="B104:O104" si="44">IF(OR(B18="A",B18="B"),ROUND(SUM(B147,B132,B133,B137,B138,B136)*B13,0),ROUND(SUM(B147,B132,B133,B136)*B13,0))</f>
        <v>10300000</v>
      </c>
      <c r="C104" s="326">
        <f t="shared" si="44"/>
        <v>9342000</v>
      </c>
      <c r="D104" s="326">
        <f t="shared" si="44"/>
        <v>13630000</v>
      </c>
      <c r="E104" s="326">
        <f t="shared" si="44"/>
        <v>10800000</v>
      </c>
      <c r="F104" s="326">
        <f t="shared" si="44"/>
        <v>12640000</v>
      </c>
      <c r="G104" s="326">
        <f t="shared" si="44"/>
        <v>0</v>
      </c>
      <c r="H104" s="326">
        <f t="shared" si="44"/>
        <v>72515625</v>
      </c>
      <c r="I104" s="326">
        <f t="shared" si="44"/>
        <v>68483756</v>
      </c>
      <c r="J104" s="326">
        <f t="shared" si="44"/>
        <v>39000000</v>
      </c>
      <c r="K104" s="326">
        <f t="shared" si="44"/>
        <v>11130000</v>
      </c>
      <c r="L104" s="326">
        <f t="shared" si="44"/>
        <v>90000000</v>
      </c>
      <c r="M104" s="326">
        <f t="shared" si="44"/>
        <v>7500000</v>
      </c>
      <c r="N104" s="326">
        <f t="shared" si="44"/>
        <v>9000000</v>
      </c>
      <c r="O104" s="326">
        <f t="shared" si="44"/>
        <v>0</v>
      </c>
      <c r="P104" s="339">
        <f>SUM(B104:O104)</f>
        <v>354341381</v>
      </c>
      <c r="Q104" s="341"/>
      <c r="R104" s="341"/>
      <c r="S104" s="341"/>
      <c r="T104" s="341"/>
      <c r="U104" s="341"/>
    </row>
    <row r="105" spans="1:21">
      <c r="A105" s="488" t="s">
        <v>811</v>
      </c>
      <c r="B105" s="431"/>
      <c r="C105" s="431"/>
      <c r="D105" s="431"/>
      <c r="E105" s="431"/>
      <c r="F105" s="431"/>
      <c r="G105" s="431"/>
      <c r="H105" s="431"/>
      <c r="I105" s="431"/>
      <c r="J105" s="431">
        <f>'UAT1-Jan'!J94</f>
        <v>39000000</v>
      </c>
      <c r="K105" s="431"/>
      <c r="L105" s="431"/>
      <c r="M105" s="431"/>
      <c r="N105" s="431"/>
      <c r="O105" s="431"/>
      <c r="P105" s="657">
        <f t="shared" si="40"/>
        <v>39000000</v>
      </c>
      <c r="Q105" s="341"/>
      <c r="R105" s="341"/>
      <c r="S105" s="341"/>
      <c r="T105" s="341"/>
      <c r="U105" s="341"/>
    </row>
    <row r="106" spans="1:21">
      <c r="A106" s="405" t="s">
        <v>481</v>
      </c>
      <c r="B106" s="326">
        <f>'UAT1-Jan'!B70/1</f>
        <v>10300000</v>
      </c>
      <c r="C106" s="326">
        <f>'UAT1-Jan'!C70/1</f>
        <v>9342000</v>
      </c>
      <c r="D106" s="326">
        <f>'UAT1-Jan'!D70/1</f>
        <v>10666957</v>
      </c>
      <c r="E106" s="326">
        <f>'UAT1-Jan'!E70/1</f>
        <v>10800000</v>
      </c>
      <c r="F106" s="326">
        <f>'UAT1-Jan'!F70/1</f>
        <v>12640000</v>
      </c>
      <c r="G106" s="326">
        <f>'UAT1-Jan'!G70/1</f>
        <v>0</v>
      </c>
      <c r="H106" s="326">
        <f>'UAT1-Jan'!H70/1</f>
        <v>72515625</v>
      </c>
      <c r="I106" s="326">
        <f>'UAT1-Jan'!I70/1</f>
        <v>68483756</v>
      </c>
      <c r="J106" s="326">
        <f>'UAT1-Jan'!J70/1</f>
        <v>39000000</v>
      </c>
      <c r="K106" s="326">
        <f>'UAT1-Jan'!K70/1</f>
        <v>11130000</v>
      </c>
      <c r="L106" s="326">
        <f>'UAT1-Jan'!L70/1</f>
        <v>90000000</v>
      </c>
      <c r="M106" s="326">
        <f>'UAT1-Jan'!M70/1</f>
        <v>7500000</v>
      </c>
      <c r="N106" s="326">
        <f>'UAT1-Jan'!N70/1</f>
        <v>9000000</v>
      </c>
      <c r="O106" s="326">
        <f>'UAT1-Jan'!O70/1</f>
        <v>0</v>
      </c>
      <c r="P106" s="339">
        <f t="shared" si="40"/>
        <v>351378338</v>
      </c>
      <c r="Q106" s="341"/>
      <c r="R106" s="341"/>
      <c r="S106" s="341"/>
      <c r="T106" s="341"/>
      <c r="U106" s="341"/>
    </row>
    <row r="107" spans="1:21">
      <c r="A107" s="488" t="s">
        <v>1227</v>
      </c>
      <c r="B107" s="431"/>
      <c r="C107" s="431"/>
      <c r="D107" s="431"/>
      <c r="E107" s="431"/>
      <c r="F107" s="431"/>
      <c r="G107" s="431"/>
      <c r="H107" s="431"/>
      <c r="I107" s="431"/>
      <c r="J107" s="431">
        <f>'UAT1-Jan'!J93</f>
        <v>39000000</v>
      </c>
      <c r="K107" s="431"/>
      <c r="L107" s="431"/>
      <c r="M107" s="431"/>
      <c r="N107" s="431"/>
      <c r="O107" s="431"/>
      <c r="P107" s="657">
        <f t="shared" si="40"/>
        <v>39000000</v>
      </c>
      <c r="Q107" s="341"/>
      <c r="R107" s="341"/>
      <c r="S107" s="341"/>
      <c r="T107" s="341"/>
      <c r="U107" s="341"/>
    </row>
    <row r="108" spans="1:21">
      <c r="A108" s="405" t="s">
        <v>600</v>
      </c>
      <c r="B108" s="326">
        <f t="shared" ref="B108:O108" si="45">SUM(B49:B51)</f>
        <v>1050000</v>
      </c>
      <c r="C108" s="326">
        <f t="shared" si="45"/>
        <v>883575</v>
      </c>
      <c r="D108" s="326">
        <f t="shared" si="45"/>
        <v>315000</v>
      </c>
      <c r="E108" s="326">
        <f t="shared" si="45"/>
        <v>945000</v>
      </c>
      <c r="F108" s="326">
        <f t="shared" si="45"/>
        <v>0</v>
      </c>
      <c r="G108" s="326">
        <f t="shared" si="45"/>
        <v>0</v>
      </c>
      <c r="H108" s="326">
        <f t="shared" si="45"/>
        <v>417000</v>
      </c>
      <c r="I108" s="326">
        <f t="shared" si="45"/>
        <v>417000</v>
      </c>
      <c r="J108" s="326">
        <f t="shared" si="45"/>
        <v>3031000</v>
      </c>
      <c r="K108" s="326">
        <f t="shared" si="45"/>
        <v>0</v>
      </c>
      <c r="L108" s="326">
        <f t="shared" si="45"/>
        <v>3477000</v>
      </c>
      <c r="M108" s="326">
        <f t="shared" si="45"/>
        <v>0</v>
      </c>
      <c r="N108" s="326">
        <f t="shared" si="45"/>
        <v>0</v>
      </c>
      <c r="O108" s="326">
        <f t="shared" si="45"/>
        <v>0</v>
      </c>
      <c r="P108" s="339">
        <f t="shared" ref="P108:P151" si="46">SUM(B108:O108)</f>
        <v>10535575</v>
      </c>
      <c r="Q108" s="341"/>
      <c r="R108" s="374"/>
      <c r="S108" s="374"/>
      <c r="T108" s="374"/>
      <c r="U108" s="374"/>
    </row>
    <row r="109" spans="1:21">
      <c r="A109" s="436" t="s">
        <v>577</v>
      </c>
      <c r="B109" s="326">
        <f t="shared" ref="B109:O109" si="47">IF(OR(B18="A",B18="C"),B99-B108,B99)</f>
        <v>14131793</v>
      </c>
      <c r="C109" s="326">
        <f t="shared" si="47"/>
        <v>12358652</v>
      </c>
      <c r="D109" s="326">
        <f t="shared" si="47"/>
        <v>20285000</v>
      </c>
      <c r="E109" s="326">
        <f t="shared" si="47"/>
        <v>12272689</v>
      </c>
      <c r="F109" s="326">
        <f t="shared" si="47"/>
        <v>13600000</v>
      </c>
      <c r="G109" s="326">
        <f t="shared" si="47"/>
        <v>11602500</v>
      </c>
      <c r="H109" s="326">
        <f t="shared" si="47"/>
        <v>92883115</v>
      </c>
      <c r="I109" s="326">
        <f t="shared" si="47"/>
        <v>82406756</v>
      </c>
      <c r="J109" s="326">
        <f t="shared" si="47"/>
        <v>41055957</v>
      </c>
      <c r="K109" s="326">
        <f t="shared" si="47"/>
        <v>10400000</v>
      </c>
      <c r="L109" s="326">
        <f t="shared" si="47"/>
        <v>86523000</v>
      </c>
      <c r="M109" s="326">
        <f t="shared" si="47"/>
        <v>7500000</v>
      </c>
      <c r="N109" s="326">
        <f t="shared" si="47"/>
        <v>9000000</v>
      </c>
      <c r="O109" s="326">
        <f t="shared" si="47"/>
        <v>2000000</v>
      </c>
      <c r="P109" s="339">
        <f t="shared" si="46"/>
        <v>416019462</v>
      </c>
      <c r="Q109" s="374"/>
      <c r="R109" s="341"/>
      <c r="S109" s="341"/>
      <c r="T109" s="341"/>
      <c r="U109" s="341"/>
    </row>
    <row r="110" spans="1:21">
      <c r="A110" s="436" t="s">
        <v>849</v>
      </c>
      <c r="B110" s="326">
        <f t="shared" ref="B110:O110" si="48">MAX(B109-B21-B20,0)</f>
        <v>1531793</v>
      </c>
      <c r="C110" s="326">
        <f t="shared" si="48"/>
        <v>0</v>
      </c>
      <c r="D110" s="326">
        <f t="shared" si="48"/>
        <v>7685000</v>
      </c>
      <c r="E110" s="326">
        <f t="shared" si="48"/>
        <v>12272689</v>
      </c>
      <c r="F110" s="326">
        <f t="shared" si="48"/>
        <v>13600000</v>
      </c>
      <c r="G110" s="326">
        <f t="shared" si="48"/>
        <v>2602500</v>
      </c>
      <c r="H110" s="326">
        <f t="shared" si="48"/>
        <v>92883115</v>
      </c>
      <c r="I110" s="326">
        <f t="shared" si="48"/>
        <v>82406756</v>
      </c>
      <c r="J110" s="326">
        <f t="shared" si="48"/>
        <v>32055957</v>
      </c>
      <c r="K110" s="326">
        <f t="shared" si="48"/>
        <v>1400000</v>
      </c>
      <c r="L110" s="326">
        <f t="shared" si="48"/>
        <v>77523000</v>
      </c>
      <c r="M110" s="326">
        <f t="shared" si="48"/>
        <v>0</v>
      </c>
      <c r="N110" s="326">
        <f t="shared" si="48"/>
        <v>0</v>
      </c>
      <c r="O110" s="326">
        <f t="shared" si="48"/>
        <v>2000000</v>
      </c>
      <c r="P110" s="339">
        <f t="shared" si="46"/>
        <v>325960810</v>
      </c>
      <c r="Q110" s="341"/>
      <c r="R110" s="341"/>
      <c r="S110" s="341"/>
      <c r="T110" s="341"/>
      <c r="U110" s="341"/>
    </row>
    <row r="111" spans="1:21">
      <c r="A111" s="405" t="s">
        <v>485</v>
      </c>
      <c r="B111" s="326">
        <f>IF(OR(B18="A",B18="C"),ROUND(MAX(B110*{5;10;15;20;25;30;35}%-{0;0.25;0.75;1.65;3.25;5.85;9.85}*1000000,0),0),IF(B18="B",IF(B110&lt;2000000,0,ROUND(B110*10%,0)),ROUND(B110*20%,0)))</f>
        <v>76590</v>
      </c>
      <c r="C111" s="326">
        <f>IF(OR(C18="A",C18="C"),ROUND(MAX(C110*{5;10;15;20;25;30;35}%-{0;0.25;0.75;1.65;3.25;5.85;9.85}*1000000,0),0),IF(C18="B",IF(C110&lt;2000000,0,ROUND(C110*10%,0)),ROUND(C110*20%,0)))</f>
        <v>0</v>
      </c>
      <c r="D111" s="326">
        <f>IF(OR(D18="A",D18="C"),ROUND(MAX(D110*{5;10;15;20;25;30;35}%-{0;0.25;0.75;1.65;3.25;5.85;9.85}*1000000,0),0),IF(D18="B",IF(D110&lt;2000000,0,ROUND(D110*10%,0)),ROUND(D110*20%,0)))</f>
        <v>518500</v>
      </c>
      <c r="E111" s="326">
        <f>IF(OR(E18="A",E18="C"),ROUND(MAX(E110*{5;10;15;20;25;30;35}%-{0;0.25;0.75;1.65;3.25;5.85;9.85}*1000000,0),0),IF(E18="B",IF(E110&lt;2000000,0,ROUND(E110*10%,0)),ROUND(E110*20%,0)))</f>
        <v>1227269</v>
      </c>
      <c r="F111" s="326">
        <f>IF(OR(F18="A",F18="C"),ROUND(MAX(F110*{5;10;15;20;25;30;35}%-{0;0.25;0.75;1.65;3.25;5.85;9.85}*1000000,0),0),IF(F18="B",IF(F110&lt;2000000,0,ROUND(F110*10%,0)),ROUND(F110*20%,0)))</f>
        <v>1360000</v>
      </c>
      <c r="G111" s="326">
        <f>IF(OR(G18="A",G18="C"),ROUND(MAX(G110*{5;10;15;20;25;30;35}%-{0;0.25;0.75;1.65;3.25;5.85;9.85}*1000000,0),0),IF(G18="B",IF(G110&lt;2000000,0,ROUND(G110*10%,0)),ROUND(G110*20%,0)))</f>
        <v>130125</v>
      </c>
      <c r="H111" s="326">
        <f>IF(OR(H18="A",H18="C"),ROUND(MAX(H110*{5;10;15;20;25;30;35}%-{0;0.25;0.75;1.65;3.25;5.85;9.85}*1000000,0),0),IF(H18="B",IF(H110&lt;2000000,0,ROUND(H110*10%,0)),ROUND(H110*20%,0)))</f>
        <v>18576623</v>
      </c>
      <c r="I111" s="326">
        <f>IF(OR(I18="A",I18="C"),ROUND(MAX(I110*{5;10;15;20;25;30;35}%-{0;0.25;0.75;1.65;3.25;5.85;9.85}*1000000,0),0),IF(I18="B",IF(I110&lt;2000000,0,ROUND(I110*10%,0)),ROUND(I110*20%,0)))</f>
        <v>16481351</v>
      </c>
      <c r="J111" s="326">
        <f>IF(OR(J18="A",J18="C"),ROUND(MAX(J110*{5;10;15;20;25;30;35}%-{0;0.25;0.75;1.65;3.25;5.85;9.85}*1000000,0),0),IF(J18="B",IF(J110&lt;2000000,0,ROUND(J110*10%,0)),ROUND(J110*20%,0)))</f>
        <v>4763989</v>
      </c>
      <c r="K111" s="326">
        <f>IF(OR(K18="A",K18="C"),ROUND(MAX(K110*{5;10;15;20;25;30;35}%-{0;0.25;0.75;1.65;3.25;5.85;9.85}*1000000,0),0),IF(K18="B",IF(K110&lt;2000000,0,ROUND(K110*10%,0)),ROUND(K110*20%,0)))</f>
        <v>70000</v>
      </c>
      <c r="L111" s="326">
        <f>IF(OR(L18="A",L18="C"),ROUND(MAX(L110*{5;10;15;20;25;30;35}%-{0;0.25;0.75;1.65;3.25;5.85;9.85}*1000000,0),0),IF(L18="B",IF(L110&lt;2000000,0,ROUND(L110*10%,0)),ROUND(L110*20%,0)))</f>
        <v>17406900</v>
      </c>
      <c r="M111" s="326">
        <f>IF(OR(M18="A",M18="C"),ROUND(MAX(M110*{5;10;15;20;25;30;35}%-{0;0.25;0.75;1.65;3.25;5.85;9.85}*1000000,0),0),IF(M18="B",IF(M110&lt;2000000,0,ROUND(M110*10%,0)),ROUND(M110*20%,0)))</f>
        <v>0</v>
      </c>
      <c r="N111" s="326">
        <f>IF(OR(N18="A",N18="C"),ROUND(MAX(N110*{5;10;15;20;25;30;35}%-{0;0.25;0.75;1.65;3.25;5.85;9.85}*1000000,0),0),IF(N18="B",IF(N110&lt;2000000,0,ROUND(N110*10%,0)),ROUND(N110*20%,0)))</f>
        <v>0</v>
      </c>
      <c r="O111" s="326">
        <f>IF(OR(O18="A",O18="C"),ROUND(MAX(O110*{5;10;15;20;25;30;35}%-{0;0.25;0.75;1.65;3.25;5.85;9.85}*1000000,0),0),IF(O18="B",IF(O110&lt;2000000,0,ROUND(O110*10%,0)),ROUND(O110*20%,0)))</f>
        <v>200000</v>
      </c>
      <c r="P111" s="339">
        <f t="shared" si="46"/>
        <v>60811347</v>
      </c>
      <c r="Q111" s="341"/>
      <c r="R111" s="341"/>
      <c r="S111" s="341"/>
      <c r="T111" s="341"/>
      <c r="U111" s="341"/>
    </row>
    <row r="112" spans="1:21">
      <c r="A112" s="436" t="s">
        <v>862</v>
      </c>
      <c r="B112" s="326">
        <f>B99+'UAT1-Jan'!B100</f>
        <v>30383063</v>
      </c>
      <c r="C112" s="326">
        <f>C99+'UAT1-Jan'!C100</f>
        <v>26519514</v>
      </c>
      <c r="D112" s="326">
        <f>D99+'UAT1-Jan'!D100</f>
        <v>36721738</v>
      </c>
      <c r="E112" s="326">
        <f>E99+'UAT1-Jan'!E100</f>
        <v>24574595</v>
      </c>
      <c r="F112" s="326">
        <f>F99+'UAT1-Jan'!F100</f>
        <v>27200000</v>
      </c>
      <c r="G112" s="326">
        <f>G99+'UAT1-Jan'!G100</f>
        <v>34807500</v>
      </c>
      <c r="H112" s="326">
        <f>H99+'UAT1-Jan'!H100</f>
        <v>186083774</v>
      </c>
      <c r="I112" s="326">
        <f>I99+'UAT1-Jan'!I100</f>
        <v>126105302</v>
      </c>
      <c r="J112" s="326">
        <f>J99+'UAT1-Jan'!J100</f>
        <v>49173914</v>
      </c>
      <c r="K112" s="326">
        <f>K99+'UAT1-Jan'!K100</f>
        <v>20800000</v>
      </c>
      <c r="L112" s="326">
        <f>L99+'UAT1-Jan'!L100</f>
        <v>180000000</v>
      </c>
      <c r="M112" s="326">
        <f>M99+'UAT1-Jan'!M100</f>
        <v>15000000</v>
      </c>
      <c r="N112" s="326">
        <f>N99+'UAT1-Jan'!N100</f>
        <v>18000000</v>
      </c>
      <c r="O112" s="326">
        <f>O99+'UAT1-Jan'!O100</f>
        <v>6000000</v>
      </c>
      <c r="P112" s="339">
        <f t="shared" si="46"/>
        <v>781369400</v>
      </c>
      <c r="Q112" s="341"/>
      <c r="R112" s="341"/>
      <c r="S112" s="341"/>
      <c r="T112" s="341"/>
      <c r="U112" s="341"/>
    </row>
    <row r="113" spans="1:21">
      <c r="A113" s="436" t="s">
        <v>486</v>
      </c>
      <c r="B113" s="326">
        <f>B111+'UAT1-Jan'!B101</f>
        <v>154154</v>
      </c>
      <c r="C113" s="326">
        <f>C111+'UAT1-Jan'!C101</f>
        <v>0</v>
      </c>
      <c r="D113" s="326">
        <f>D111+'UAT1-Jan'!D101</f>
        <v>678837</v>
      </c>
      <c r="E113" s="326">
        <f>E111+'UAT1-Jan'!E101</f>
        <v>2457460</v>
      </c>
      <c r="F113" s="326">
        <f>F111+'UAT1-Jan'!F101</f>
        <v>2720000</v>
      </c>
      <c r="G113" s="326">
        <f>G111+'UAT1-Jan'!G101</f>
        <v>1510875</v>
      </c>
      <c r="H113" s="326">
        <f>H111+'UAT1-Jan'!H101</f>
        <v>37216755</v>
      </c>
      <c r="I113" s="326">
        <f>I111+'UAT1-Jan'!I101</f>
        <v>25221060</v>
      </c>
      <c r="J113" s="326">
        <f>J111+'UAT1-Jan'!J101</f>
        <v>4763989</v>
      </c>
      <c r="K113" s="326">
        <f>K111+'UAT1-Jan'!K101</f>
        <v>140000</v>
      </c>
      <c r="L113" s="326">
        <f>L111+'UAT1-Jan'!L101</f>
        <v>34813800</v>
      </c>
      <c r="M113" s="326">
        <f>M111+'UAT1-Jan'!M101</f>
        <v>0</v>
      </c>
      <c r="N113" s="326">
        <f>N111+'UAT1-Jan'!N101</f>
        <v>0</v>
      </c>
      <c r="O113" s="326">
        <f>O111+'UAT1-Jan'!O101</f>
        <v>600000</v>
      </c>
      <c r="P113" s="339">
        <f t="shared" si="46"/>
        <v>110276930</v>
      </c>
      <c r="Q113" s="341"/>
      <c r="R113" s="341"/>
      <c r="S113" s="341"/>
      <c r="T113" s="341"/>
      <c r="U113" s="341"/>
    </row>
    <row r="114" spans="1:21">
      <c r="A114" s="436" t="s">
        <v>487</v>
      </c>
      <c r="B114" s="326">
        <f>B108+'UAT1-Jan'!B102</f>
        <v>2100000</v>
      </c>
      <c r="C114" s="326">
        <f>C108+'UAT1-Jan'!C102</f>
        <v>1767150</v>
      </c>
      <c r="D114" s="326">
        <f>D108+'UAT1-Jan'!D102</f>
        <v>630000</v>
      </c>
      <c r="E114" s="326">
        <f>E108+'UAT1-Jan'!E102</f>
        <v>1890000</v>
      </c>
      <c r="F114" s="326">
        <f>F108+'UAT1-Jan'!F102</f>
        <v>0</v>
      </c>
      <c r="G114" s="326">
        <f>G108+'UAT1-Jan'!G102</f>
        <v>0</v>
      </c>
      <c r="H114" s="326">
        <f>H108+'UAT1-Jan'!H102</f>
        <v>834000</v>
      </c>
      <c r="I114" s="326">
        <f>I108+'UAT1-Jan'!I102</f>
        <v>417000</v>
      </c>
      <c r="J114" s="326">
        <f>J108+'UAT1-Jan'!J102</f>
        <v>3031000</v>
      </c>
      <c r="K114" s="326">
        <f>K108+'UAT1-Jan'!K102</f>
        <v>0</v>
      </c>
      <c r="L114" s="326">
        <f>L108+'UAT1-Jan'!L102</f>
        <v>6954000</v>
      </c>
      <c r="M114" s="326">
        <f>M108+'UAT1-Jan'!M102</f>
        <v>0</v>
      </c>
      <c r="N114" s="326">
        <f>N108+'UAT1-Jan'!N102</f>
        <v>0</v>
      </c>
      <c r="O114" s="326">
        <f>O108+'UAT1-Jan'!O102</f>
        <v>0</v>
      </c>
      <c r="P114" s="339">
        <f t="shared" si="46"/>
        <v>17623150</v>
      </c>
      <c r="Q114" s="341"/>
      <c r="R114" s="341"/>
      <c r="S114" s="341"/>
      <c r="T114" s="341"/>
      <c r="U114" s="341"/>
    </row>
    <row r="115" spans="1:21">
      <c r="A115" s="405"/>
      <c r="B115" s="14"/>
      <c r="C115" s="7"/>
      <c r="D115" s="7"/>
      <c r="E115" s="316"/>
      <c r="F115" s="7"/>
      <c r="G115" s="7"/>
      <c r="H115" s="7"/>
      <c r="I115" s="7"/>
      <c r="J115" s="7"/>
      <c r="K115" s="316"/>
      <c r="L115" s="316"/>
      <c r="M115" s="316"/>
      <c r="N115" s="316"/>
      <c r="O115" s="316"/>
      <c r="P115" s="339"/>
      <c r="Q115" s="341"/>
      <c r="R115" s="341"/>
      <c r="S115" s="341"/>
      <c r="T115" s="341"/>
      <c r="U115" s="341"/>
    </row>
    <row r="116" spans="1:21" ht="15.6">
      <c r="A116" s="404" t="s">
        <v>775</v>
      </c>
      <c r="B116" s="14"/>
      <c r="C116" s="7"/>
      <c r="D116" s="7"/>
      <c r="E116" s="316"/>
      <c r="F116" s="7"/>
      <c r="G116" s="7"/>
      <c r="H116" s="7"/>
      <c r="I116" s="7"/>
      <c r="J116" s="7"/>
      <c r="K116" s="316"/>
      <c r="L116" s="316"/>
      <c r="M116" s="316"/>
      <c r="N116" s="316"/>
      <c r="O116" s="375"/>
      <c r="P116" s="340"/>
      <c r="Q116" s="341"/>
      <c r="R116" s="341"/>
      <c r="S116" s="341"/>
      <c r="T116" s="341"/>
      <c r="U116" s="341"/>
    </row>
    <row r="117" spans="1:21">
      <c r="A117" s="436" t="s">
        <v>431</v>
      </c>
      <c r="B117" s="531">
        <f>'UAT1-Jan'!B105</f>
        <v>160</v>
      </c>
      <c r="C117" s="531">
        <f>'UAT1-Jan'!C105</f>
        <v>144</v>
      </c>
      <c r="D117" s="531">
        <f>'UAT1-Jan'!D105</f>
        <v>156.93</v>
      </c>
      <c r="E117" s="531">
        <f>'UAT1-Jan'!E105</f>
        <v>160</v>
      </c>
      <c r="F117" s="531">
        <f>'UAT1-Jan'!F105</f>
        <v>128</v>
      </c>
      <c r="G117" s="531">
        <f>'UAT1-Jan'!G105</f>
        <v>0</v>
      </c>
      <c r="H117" s="531">
        <f>'UAT1-Jan'!H105</f>
        <v>80</v>
      </c>
      <c r="I117" s="531">
        <f>'UAT1-Jan'!I105</f>
        <v>0</v>
      </c>
      <c r="J117" s="531">
        <f>'UAT1-Jan'!J105</f>
        <v>88.64</v>
      </c>
      <c r="K117" s="531">
        <f>'UAT1-Jan'!K105</f>
        <v>160</v>
      </c>
      <c r="L117" s="531">
        <f>'UAT1-Jan'!L105</f>
        <v>160</v>
      </c>
      <c r="M117" s="531">
        <f>'UAT1-Jan'!M105</f>
        <v>160</v>
      </c>
      <c r="N117" s="531">
        <f>'UAT1-Jan'!N105</f>
        <v>160</v>
      </c>
      <c r="O117" s="532">
        <f>'UAT1-Jan'!O105</f>
        <v>0</v>
      </c>
      <c r="P117" s="466">
        <f t="shared" si="46"/>
        <v>1557.5700000000002</v>
      </c>
      <c r="Q117" s="341"/>
      <c r="R117" s="341"/>
      <c r="S117" s="341"/>
      <c r="T117" s="341"/>
      <c r="U117" s="341"/>
    </row>
    <row r="118" spans="1:21">
      <c r="A118" s="436" t="s">
        <v>432</v>
      </c>
      <c r="B118" s="531">
        <f>'UAT1-Jan'!B106</f>
        <v>80</v>
      </c>
      <c r="C118" s="531">
        <f>'UAT1-Jan'!C106</f>
        <v>72</v>
      </c>
      <c r="D118" s="531">
        <f>'UAT1-Jan'!D106</f>
        <v>78.47</v>
      </c>
      <c r="E118" s="531">
        <f>'UAT1-Jan'!E106</f>
        <v>80</v>
      </c>
      <c r="F118" s="531">
        <f>'UAT1-Jan'!F106</f>
        <v>64</v>
      </c>
      <c r="G118" s="531">
        <f>'UAT1-Jan'!G106</f>
        <v>0</v>
      </c>
      <c r="H118" s="531">
        <f>'UAT1-Jan'!H106</f>
        <v>40</v>
      </c>
      <c r="I118" s="531">
        <f>'UAT1-Jan'!I106</f>
        <v>0</v>
      </c>
      <c r="J118" s="531">
        <f>'UAT1-Jan'!J106</f>
        <v>44.32</v>
      </c>
      <c r="K118" s="531">
        <f>'UAT1-Jan'!K106</f>
        <v>80</v>
      </c>
      <c r="L118" s="531">
        <f>'UAT1-Jan'!L106</f>
        <v>80</v>
      </c>
      <c r="M118" s="531">
        <f>'UAT1-Jan'!M106</f>
        <v>80</v>
      </c>
      <c r="N118" s="531">
        <f>'UAT1-Jan'!N106</f>
        <v>80</v>
      </c>
      <c r="O118" s="532">
        <f>'UAT1-Jan'!O106</f>
        <v>0</v>
      </c>
      <c r="P118" s="466">
        <f t="shared" si="46"/>
        <v>778.79</v>
      </c>
      <c r="Q118" s="341"/>
    </row>
    <row r="119" spans="1:21">
      <c r="A119" s="436" t="s">
        <v>433</v>
      </c>
      <c r="B119" s="531">
        <f>'UAT1-Jan'!B107</f>
        <v>0</v>
      </c>
      <c r="C119" s="531">
        <f>'UAT1-Jan'!C107</f>
        <v>0</v>
      </c>
      <c r="D119" s="531">
        <f>'UAT1-Jan'!D107</f>
        <v>0</v>
      </c>
      <c r="E119" s="531">
        <f>'UAT1-Jan'!E107</f>
        <v>0</v>
      </c>
      <c r="F119" s="531">
        <f>'UAT1-Jan'!F107</f>
        <v>0</v>
      </c>
      <c r="G119" s="531">
        <f>'UAT1-Jan'!G107</f>
        <v>0</v>
      </c>
      <c r="H119" s="531">
        <f>'UAT1-Jan'!H107</f>
        <v>0</v>
      </c>
      <c r="I119" s="531">
        <f>'UAT1-Jan'!I107</f>
        <v>0</v>
      </c>
      <c r="J119" s="531">
        <f>'UAT1-Jan'!J107</f>
        <v>0</v>
      </c>
      <c r="K119" s="531">
        <f>'UAT1-Jan'!K107</f>
        <v>0</v>
      </c>
      <c r="L119" s="531">
        <f>'UAT1-Jan'!L107</f>
        <v>0</v>
      </c>
      <c r="M119" s="531">
        <f>'UAT1-Jan'!M107</f>
        <v>0</v>
      </c>
      <c r="N119" s="531">
        <f>'UAT1-Jan'!N107</f>
        <v>0</v>
      </c>
      <c r="O119" s="532">
        <f>'UAT1-Jan'!O107</f>
        <v>0</v>
      </c>
      <c r="P119" s="466">
        <f t="shared" si="46"/>
        <v>0</v>
      </c>
    </row>
    <row r="120" spans="1:21">
      <c r="A120" s="436" t="s">
        <v>434</v>
      </c>
      <c r="B120" s="531">
        <f>'UAT1-Jan'!B108</f>
        <v>0</v>
      </c>
      <c r="C120" s="531">
        <f>'UAT1-Jan'!C108</f>
        <v>0</v>
      </c>
      <c r="D120" s="531">
        <f>'UAT1-Jan'!D108</f>
        <v>0</v>
      </c>
      <c r="E120" s="531">
        <f>'UAT1-Jan'!E108</f>
        <v>0</v>
      </c>
      <c r="F120" s="531">
        <f>'UAT1-Jan'!F108</f>
        <v>0</v>
      </c>
      <c r="G120" s="531">
        <f>'UAT1-Jan'!G108</f>
        <v>0</v>
      </c>
      <c r="H120" s="531">
        <f>'UAT1-Jan'!H108</f>
        <v>0</v>
      </c>
      <c r="I120" s="531">
        <f>'UAT1-Jan'!I108</f>
        <v>0</v>
      </c>
      <c r="J120" s="531">
        <f>'UAT1-Jan'!J108</f>
        <v>0</v>
      </c>
      <c r="K120" s="531">
        <f>'UAT1-Jan'!K108</f>
        <v>0</v>
      </c>
      <c r="L120" s="531">
        <f>'UAT1-Jan'!L108</f>
        <v>0</v>
      </c>
      <c r="M120" s="531">
        <f>'UAT1-Jan'!M108</f>
        <v>0</v>
      </c>
      <c r="N120" s="531">
        <f>'UAT1-Jan'!N108</f>
        <v>0</v>
      </c>
      <c r="O120" s="532">
        <f>'UAT1-Jan'!O108</f>
        <v>0</v>
      </c>
      <c r="P120" s="466">
        <f t="shared" si="46"/>
        <v>0</v>
      </c>
    </row>
    <row r="121" spans="1:21">
      <c r="A121" s="436" t="s">
        <v>435</v>
      </c>
      <c r="B121" s="531">
        <f>'UAT1-Jan'!B109</f>
        <v>0</v>
      </c>
      <c r="C121" s="531">
        <f>'UAT1-Jan'!C109</f>
        <v>0</v>
      </c>
      <c r="D121" s="531">
        <f>'UAT1-Jan'!D109</f>
        <v>0</v>
      </c>
      <c r="E121" s="531">
        <f>'UAT1-Jan'!E109</f>
        <v>0</v>
      </c>
      <c r="F121" s="531">
        <f>'UAT1-Jan'!F109</f>
        <v>0</v>
      </c>
      <c r="G121" s="531">
        <f>'UAT1-Jan'!G109</f>
        <v>0</v>
      </c>
      <c r="H121" s="531">
        <f>'UAT1-Jan'!H109</f>
        <v>0</v>
      </c>
      <c r="I121" s="531">
        <f>'UAT1-Jan'!I109</f>
        <v>0</v>
      </c>
      <c r="J121" s="531">
        <f>'UAT1-Jan'!J109</f>
        <v>0</v>
      </c>
      <c r="K121" s="531">
        <f>'UAT1-Jan'!K109</f>
        <v>0</v>
      </c>
      <c r="L121" s="531">
        <f>'UAT1-Jan'!L109</f>
        <v>0</v>
      </c>
      <c r="M121" s="531">
        <f>'UAT1-Jan'!M109</f>
        <v>0</v>
      </c>
      <c r="N121" s="531">
        <f>'UAT1-Jan'!N109</f>
        <v>0</v>
      </c>
      <c r="O121" s="532">
        <f>'UAT1-Jan'!O109</f>
        <v>0</v>
      </c>
      <c r="P121" s="466">
        <f t="shared" si="46"/>
        <v>0</v>
      </c>
    </row>
    <row r="122" spans="1:21">
      <c r="A122" s="436"/>
      <c r="F122" s="5"/>
      <c r="G122" s="5"/>
      <c r="H122" s="5"/>
      <c r="I122" s="5"/>
      <c r="P122" s="339"/>
    </row>
    <row r="123" spans="1:21" ht="15.6">
      <c r="A123" s="404" t="s">
        <v>436</v>
      </c>
      <c r="P123" s="339"/>
    </row>
    <row r="124" spans="1:21">
      <c r="A124" s="6" t="s">
        <v>809</v>
      </c>
      <c r="B124" s="528">
        <f>IF(OR(B11="S",B11="C"),0,IF(OR(B11="1",B11="3"),ROUND(20*8*B16/365,5),ROUND(20*'New Hire'!C24*B16/365,5)))+'UAT1-Jan'!B112</f>
        <v>25.863010000000003</v>
      </c>
      <c r="C124" s="528">
        <f>IF(OR(C11="S",C11="C"),0,IF(OR(C11="1",C11="3"),ROUND(20*8*C16/365,5),ROUND(20*'New Hire'!D24*C16/365,5)))+'UAT1-Jan'!C112</f>
        <v>23.276720000000001</v>
      </c>
      <c r="D124" s="528">
        <f>IF(OR(D11="S",D11="C"),0,IF(OR(D11="1",D11="3"),ROUND(20*8*D16/365,5),ROUND(20*'New Hire'!E24*D16/365,5)))+'UAT1-Jan'!D112</f>
        <v>22.794519999999999</v>
      </c>
      <c r="E124" s="528">
        <f>IF(OR(E11="S",E11="C"),0,IF(OR(E11="1",E11="3"),ROUND(20*8*E16/365,5),ROUND(20*'New Hire'!F24*E16/365,5)))+'UAT1-Jan'!E112</f>
        <v>25.863010000000003</v>
      </c>
      <c r="F124" s="528">
        <f>IF(OR(F11="S",F11="C"),0,IF(OR(F11="1",F11="3"),ROUND(20*8*F16/365,5),ROUND(20*'New Hire'!G24*F16/365,5)))+'UAT1-Jan'!F112</f>
        <v>20.69041</v>
      </c>
      <c r="G124" s="528">
        <f>IF(OR(G11="S",G11="C"),0,IF(OR(G11="1",G11="3"),ROUND(20*8*G16/365,5),ROUND(20*'New Hire'!H24*G16/365,5)))+'UAT1-Jan'!G112</f>
        <v>0</v>
      </c>
      <c r="H124" s="528">
        <f>IF(OR(H11="S",H11="C"),0,IF(OR(H11="1",H11="3"),ROUND(20*8*H16/365,5),ROUND(20*'New Hire'!I24*H16/365,5)))+'UAT1-Jan'!H112</f>
        <v>12.931509999999999</v>
      </c>
      <c r="I124" s="528">
        <f>IF(OR(I11="S",I11="C"),0,IF(OR(I11="1",I11="3"),ROUND(20*8*I16/365,5),ROUND(20*'New Hire'!J24*I16/365,5)))+'UAT1-Jan'!I112</f>
        <v>0</v>
      </c>
      <c r="J124" s="528">
        <f>IF(OR(J11="S",J11="C"),0,IF(OR(J11="1",J11="3"),ROUND(20*8*J16/365,5),ROUND(20*'New Hire'!K24*J16/365,5)))+'UAT1-Jan'!J112</f>
        <v>8.1534200000000006</v>
      </c>
      <c r="K124" s="528">
        <f>IF(OR(K11="S",K11="C"),0,IF(OR(K11="1",K11="3"),ROUND(20*8*K16/365,5),ROUND(20*'New Hire'!L24*K16/365,5)))+'UAT1-Jan'!K112</f>
        <v>25.863010000000003</v>
      </c>
      <c r="L124" s="528">
        <f>IF(OR(L11="S",L11="C"),0,IF(OR(L11="1",L11="3"),ROUND(20*8*L16/365,5),ROUND(20*'New Hire'!M24*L16/365,5)))+'UAT1-Jan'!L112</f>
        <v>25.863010000000003</v>
      </c>
      <c r="M124" s="528">
        <f>IF(OR(M11="S",M11="C"),0,IF(OR(M11="1",M11="3"),ROUND(20*8*M16/365,5),ROUND(20*'New Hire'!N24*M16/365,5)))+'UAT1-Jan'!M112</f>
        <v>25.863010000000003</v>
      </c>
      <c r="N124" s="528">
        <f>IF(OR(N11="S",N11="C"),0,IF(OR(N11="1",N11="3"),ROUND(20*8*N16/365,5),ROUND(20*'New Hire'!O24*N16/365,5)))+'UAT1-Jan'!N112</f>
        <v>25.863010000000003</v>
      </c>
      <c r="O124" s="528">
        <f>IF(OR(O11="S",O11="C"),0,IF(OR(O11="1",O11="3"),ROUND(20*8*O16/365,5),ROUND(20*'New Hire'!P24*O16/365,5)))+'UAT1-Jan'!O112</f>
        <v>0</v>
      </c>
      <c r="P124" s="653">
        <f t="shared" si="46"/>
        <v>243.02464000000001</v>
      </c>
    </row>
    <row r="125" spans="1:21">
      <c r="A125" s="6" t="s">
        <v>810</v>
      </c>
      <c r="B125" s="529">
        <f>IF(OR(B11="S",B11="C"),0,IF(OR(B11="1",B11="3"),ROUND(10*8*B16/365,5),ROUND(10*'New Hire'!C24*B16/365,5)))+'UAT1-Jan'!B113</f>
        <v>12.931509999999999</v>
      </c>
      <c r="C125" s="529">
        <f>IF(OR(C11="S",C11="C"),0,IF(OR(C11="1",C11="3"),ROUND(10*8*C16/365,5),ROUND(10*'New Hire'!D24*C16/365,5)))+'UAT1-Jan'!C113</f>
        <v>11.63836</v>
      </c>
      <c r="D125" s="529">
        <f>IF(OR(D11="S",D11="C"),0,IF(OR(D11="1",D11="3"),ROUND(10*8*D16/365,5),ROUND(10*'New Hire'!E24*D16/365,5)))+'UAT1-Jan'!D113</f>
        <v>11.397259999999999</v>
      </c>
      <c r="E125" s="529">
        <f>IF(OR(E11="S",E11="C"),0,IF(OR(E11="1",E11="3"),ROUND(10*8*E16/365,5),ROUND(10*'New Hire'!F24*E16/365,5)))+'UAT1-Jan'!E113</f>
        <v>12.931509999999999</v>
      </c>
      <c r="F125" s="529">
        <f>IF(OR(F11="S",F11="C"),0,IF(OR(F11="1",F11="3"),ROUND(10*8*F16/365,5),ROUND(10*'New Hire'!G24*F16/365,5)))+'UAT1-Jan'!F113</f>
        <v>10.34521</v>
      </c>
      <c r="G125" s="529">
        <f>IF(OR(G11="S",G11="C"),0,IF(OR(G11="1",G11="3"),ROUND(10*8*G16/365,5),ROUND(10*'New Hire'!H24*G16/365,5)))+'UAT1-Jan'!G113</f>
        <v>0</v>
      </c>
      <c r="H125" s="529">
        <f>IF(OR(H11="S",H11="C"),0,IF(OR(H11="1",H11="3"),ROUND(10*8*H16/365,5),ROUND(10*'New Hire'!I24*H16/365,5)))+'UAT1-Jan'!H113</f>
        <v>6.4657499999999999</v>
      </c>
      <c r="I125" s="529">
        <f>IF(OR(I11="S",I11="C"),0,IF(OR(I11="1",I11="3"),ROUND(10*8*I16/365,5),ROUND(10*'New Hire'!J24*I16/365,5)))+'UAT1-Jan'!I113</f>
        <v>0</v>
      </c>
      <c r="J125" s="529">
        <f>IF(OR(J11="S",J11="C"),0,IF(OR(J11="1",J11="3"),ROUND(10*8*J16/365,5),ROUND(10*'New Hire'!K24*J16/365,5)))+'UAT1-Jan'!J113</f>
        <v>4.0767100000000003</v>
      </c>
      <c r="K125" s="529">
        <f>IF(OR(K11="S",K11="C"),0,IF(OR(K11="1",K11="3"),ROUND(10*8*K16/365,5),ROUND(10*'New Hire'!L24*K16/365,5)))+'UAT1-Jan'!K113</f>
        <v>12.931509999999999</v>
      </c>
      <c r="L125" s="529">
        <f>IF(OR(L11="S",L11="C"),0,IF(OR(L11="1",L11="3"),ROUND(10*8*L16/365,5),ROUND(10*'New Hire'!M24*L16/365,5)))+'UAT1-Jan'!L113</f>
        <v>12.931509999999999</v>
      </c>
      <c r="M125" s="529">
        <f>IF(OR(M11="S",M11="C"),0,IF(OR(M11="1",M11="3"),ROUND(10*8*M16/365,5),ROUND(10*'New Hire'!N24*M16/365,5)))+'UAT1-Jan'!M113</f>
        <v>12.931509999999999</v>
      </c>
      <c r="N125" s="529">
        <f>IF(OR(N11="S",N11="C"),0,IF(OR(N11="1",N11="3"),ROUND(10*8*N16/365,5),ROUND(10*'New Hire'!O24*N16/365,5)))+'UAT1-Jan'!N113</f>
        <v>12.931509999999999</v>
      </c>
      <c r="O125" s="529">
        <f>IF(OR(O11="S",O11="C"),0,IF(OR(O11="1",O11="3"),ROUND(10*8*O16/365,5),ROUND(10*'New Hire'!P24*O16/365,5)))+'UAT1-Jan'!O113</f>
        <v>0</v>
      </c>
      <c r="P125" s="653">
        <f t="shared" si="46"/>
        <v>121.51235000000001</v>
      </c>
    </row>
    <row r="126" spans="1:21">
      <c r="A126" s="436" t="s">
        <v>779</v>
      </c>
      <c r="B126" s="528">
        <f>IF('New Hire'!C78=1,ROUND(25/10*B13/365,5)*B16,0)+'UAT1-Jan'!B114</f>
        <v>0</v>
      </c>
      <c r="C126" s="528">
        <f>IF('New Hire'!D78=1,ROUND(25/10*C13/365,5)*C16,0)+'UAT1-Jan'!C114</f>
        <v>0.36343999999999999</v>
      </c>
      <c r="D126" s="528">
        <f>IF('New Hire'!E78=1,ROUND(25/10*D13/365,5)*D16,0)+'UAT1-Jan'!D114</f>
        <v>0</v>
      </c>
      <c r="E126" s="528">
        <f>IF('New Hire'!F78=1,ROUND(25/10*E13/365,5)*E16,0)+'UAT1-Jan'!E114</f>
        <v>0</v>
      </c>
      <c r="F126" s="528">
        <f>IF('New Hire'!G78=1,ROUND(25/10*F13/365,5)*F16,0)+'UAT1-Jan'!F114</f>
        <v>0.32331999999999994</v>
      </c>
      <c r="G126" s="528">
        <f>IF('New Hire'!H78=1,ROUND(25/10*G13/365,5)*G16,0)+'UAT1-Jan'!G114</f>
        <v>0</v>
      </c>
      <c r="H126" s="528">
        <f>IF('New Hire'!I78=1,ROUND(25/10*H13/365,5)*H16,0)+'UAT1-Jan'!H114</f>
        <v>0</v>
      </c>
      <c r="I126" s="528">
        <f>IF('New Hire'!J78=1,ROUND(25/10*I13/365,5)*I16,0)+'UAT1-Jan'!I114</f>
        <v>0</v>
      </c>
      <c r="J126" s="528">
        <f>IF('New Hire'!K78=1,ROUND(25/10*J13/365,5)*J16,0)+'UAT1-Jan'!J114</f>
        <v>0</v>
      </c>
      <c r="K126" s="528">
        <f>IF('New Hire'!L78=1,ROUND(25/10*K13/365,5)*K16,0)+'UAT1-Jan'!K114</f>
        <v>0</v>
      </c>
      <c r="L126" s="528">
        <f>IF('New Hire'!M78=1,ROUND(25/10*L13/365,5)*L16,0)+'UAT1-Jan'!L114</f>
        <v>0</v>
      </c>
      <c r="M126" s="528">
        <f>IF('New Hire'!N78=1,ROUND(25/10*M13/365,5)*M16,0)+'UAT1-Jan'!M114</f>
        <v>0</v>
      </c>
      <c r="N126" s="528">
        <f>IF('New Hire'!O78=1,ROUND(25/10*N13/365,5)*N16,0)+'UAT1-Jan'!N114</f>
        <v>0</v>
      </c>
      <c r="O126" s="528">
        <f>IF('New Hire'!P78=1,ROUND(25/10*O13/365,5)*O16,0)+'UAT1-Jan'!O114</f>
        <v>0</v>
      </c>
      <c r="P126" s="653">
        <f t="shared" si="46"/>
        <v>0.68675999999999993</v>
      </c>
    </row>
    <row r="127" spans="1:21">
      <c r="A127" s="436" t="s">
        <v>780</v>
      </c>
      <c r="B127" s="529">
        <f>IF(B11="C",0,IF('New Hire'!C78=1,0,ROUND(5/5*B13/365,5)*B16)+'UAT1-Jan'!B115)</f>
        <v>0.16165999999999997</v>
      </c>
      <c r="C127" s="529">
        <f>IF(C11="C",0,IF('New Hire'!D78=1,0,ROUND(5/5*C13/365,5)*C16)+'UAT1-Jan'!C115)</f>
        <v>0</v>
      </c>
      <c r="D127" s="529">
        <f>IF(D11="C",0,IF('New Hire'!E78=1,0,ROUND(5/5*D13/365,5)*D16)+'UAT1-Jan'!D115)</f>
        <v>0.14248</v>
      </c>
      <c r="E127" s="529">
        <f>IF(E11="C",0,IF('New Hire'!F78=1,0,ROUND(5/5*E13/365,5)*E16)+'UAT1-Jan'!E115)</f>
        <v>0.16165999999999997</v>
      </c>
      <c r="F127" s="529">
        <f>IF(F11="C",0,IF('New Hire'!G78=1,0,ROUND(5/5*F13/365,5)*F16)+'UAT1-Jan'!F115)</f>
        <v>0</v>
      </c>
      <c r="G127" s="529">
        <f>IF(G11="C",0,IF('New Hire'!H78=1,0,ROUND(5/5*G13/365,5)*G16)+'UAT1-Jan'!G115)</f>
        <v>0</v>
      </c>
      <c r="H127" s="529">
        <f>IF(H11="C",0,IF('New Hire'!I78=1,0,ROUND(5/5*H13/365,5)*H16)+'UAT1-Jan'!H115)</f>
        <v>8.0829999999999985E-2</v>
      </c>
      <c r="I127" s="529">
        <f>IF(I11="C",0,IF('New Hire'!J78=1,0,ROUND(5/5*I13/365,5)*I16)+'UAT1-Jan'!I115)</f>
        <v>8.610000000000001E-2</v>
      </c>
      <c r="J127" s="529">
        <f>IF(J11="C",0,IF('New Hire'!K78=1,0,ROUND(5/5*J13/365,5)*J16)+'UAT1-Jan'!J115)</f>
        <v>5.0840000000000003E-2</v>
      </c>
      <c r="K127" s="529">
        <f>IF(K11="C",0,IF('New Hire'!L78=1,0,ROUND(5/5*K13/365,5)*K16)+'UAT1-Jan'!K115)</f>
        <v>0.16165999999999997</v>
      </c>
      <c r="L127" s="529">
        <f>IF(L11="C",0,IF('New Hire'!M78=1,0,ROUND(5/5*L13/365,5)*L16)+'UAT1-Jan'!L115)</f>
        <v>0.16165999999999997</v>
      </c>
      <c r="M127" s="529">
        <f>IF(M11="C",0,IF('New Hire'!N78=1,0,ROUND(5/5*M13/365,5)*M16)+'UAT1-Jan'!M115)</f>
        <v>0.16165999999999997</v>
      </c>
      <c r="N127" s="529">
        <f>IF(N11="C",0,IF('New Hire'!O78=1,0,ROUND(5/5*N13/365,5)*N16)+'UAT1-Jan'!N115)</f>
        <v>0.16165999999999997</v>
      </c>
      <c r="O127" s="529">
        <f>IF(O11="C",0,IF('New Hire'!P78=1,0,ROUND(5/5*O13/365,5)*O16)+'UAT1-Jan'!O115)</f>
        <v>0</v>
      </c>
      <c r="P127" s="653">
        <f t="shared" si="46"/>
        <v>1.3302099999999997</v>
      </c>
    </row>
    <row r="128" spans="1:21">
      <c r="A128" s="436"/>
      <c r="F128" s="5"/>
      <c r="G128" s="5"/>
      <c r="H128" s="5"/>
      <c r="I128" s="5"/>
      <c r="P128" s="339"/>
    </row>
    <row r="129" spans="1:16" ht="15.6">
      <c r="A129" s="404" t="s">
        <v>622</v>
      </c>
      <c r="P129" s="339"/>
    </row>
    <row r="130" spans="1:16">
      <c r="A130" s="436" t="s">
        <v>477</v>
      </c>
      <c r="B130" s="443">
        <f>IF(OR(B18="A",B18="B"),'New Hire'!C32,ROUND('New Hire'!C32*$B$4,0))</f>
        <v>5000000</v>
      </c>
      <c r="C130" s="443">
        <f>IF(OR(C18="A",C18="B"),'New Hire'!D32,ROUND('New Hire'!D32*$B$4,0))</f>
        <v>4500000</v>
      </c>
      <c r="D130" s="443">
        <f>IF(OR(D18="A",D18="B"),'New Hire'!E32,ROUND('New Hire'!E32*$B$4,0))</f>
        <v>7000000</v>
      </c>
      <c r="E130" s="443">
        <f>IF(OR(E18="A",E18="B"),'New Hire'!F32,ROUND('New Hire'!F32*$B$4,0))</f>
        <v>9000000</v>
      </c>
      <c r="F130" s="443">
        <f>IF(OR(F18="A",F18="B"),'New Hire'!G32,ROUND('New Hire'!G32*$B$4,0))</f>
        <v>14000000</v>
      </c>
      <c r="G130" s="443"/>
      <c r="H130" s="443">
        <f>IF(OR(H18="A",H18="B"),'New Hire'!I32,ROUND('New Hire'!I32*$B$4,0))</f>
        <v>116025000</v>
      </c>
      <c r="I130" s="443">
        <f>IF(OR(I18="A",I18="B"),'New Hire'!J32,ROUND('New Hire'!J32*$B$4,0))</f>
        <v>92820000</v>
      </c>
      <c r="J130" s="443">
        <f>IF(OR(J18="A",J18="B"),'New Hire'!K32,ROUND('New Hire'!K32*$B$4,0))</f>
        <v>50000000</v>
      </c>
      <c r="K130" s="443">
        <f>IF(OR(K18="A",K18="B"),'New Hire'!L32,ROUND('New Hire'!L32*$B$4,0))</f>
        <v>8000000</v>
      </c>
      <c r="L130" s="443">
        <f>IF(OR(L18="A",L18="B"),'New Hire'!M32,ROUND('New Hire'!M32*$B$4,0))</f>
        <v>90000000</v>
      </c>
      <c r="M130" s="443">
        <f>IF(OR(M18="A",M18="B"),'New Hire'!N32,ROUND('New Hire'!N32*$B$4,0))</f>
        <v>5000000</v>
      </c>
      <c r="N130" s="443">
        <f>IF(OR(N18="A",N18="B"),'New Hire'!O32,ROUND('New Hire'!O32*$B$4,0))</f>
        <v>6500000</v>
      </c>
      <c r="O130" s="443"/>
      <c r="P130" s="339">
        <f t="shared" si="46"/>
        <v>407845000</v>
      </c>
    </row>
    <row r="131" spans="1:16">
      <c r="A131" s="436" t="s">
        <v>750</v>
      </c>
      <c r="B131" s="443"/>
      <c r="C131" s="443"/>
      <c r="D131" s="443"/>
      <c r="E131" s="443"/>
      <c r="F131" s="443"/>
      <c r="G131" s="443">
        <f>200*B4</f>
        <v>4641000</v>
      </c>
      <c r="H131" s="443"/>
      <c r="I131" s="443"/>
      <c r="J131" s="443"/>
      <c r="K131" s="443"/>
      <c r="L131" s="443"/>
      <c r="M131" s="443"/>
      <c r="N131" s="443"/>
      <c r="O131" s="443">
        <f>'New Hire'!P32</f>
        <v>800000</v>
      </c>
      <c r="P131" s="339">
        <f t="shared" si="46"/>
        <v>5441000</v>
      </c>
    </row>
    <row r="132" spans="1:16">
      <c r="A132" s="442" t="s">
        <v>494</v>
      </c>
      <c r="B132" s="443">
        <f>IF(OR(B18="A",B18="B"),'New Hire'!C34,ROUND('New Hire'!C34*$B$4,0))</f>
        <v>500000</v>
      </c>
      <c r="C132" s="443">
        <f>IF(OR(C18="A",C18="B"),'New Hire'!D34,ROUND('New Hire'!D34*$B$4,0))</f>
        <v>450000</v>
      </c>
      <c r="D132" s="443">
        <f>IF(OR(D18="A",D18="B"),'New Hire'!E34,ROUND('New Hire'!E34*$B$4,0))</f>
        <v>700000</v>
      </c>
      <c r="E132" s="443">
        <f>IF(OR(E18="A",E18="B"),'New Hire'!F34,ROUND('New Hire'!F34*$B$4,0))</f>
        <v>0</v>
      </c>
      <c r="F132" s="443">
        <f>IF(OR(F18="A",F18="B"),'New Hire'!G34,ROUND('New Hire'!G34*$B$4,0))</f>
        <v>0</v>
      </c>
      <c r="G132" s="443">
        <f>IF(OR(G18="A",G18="B"),'New Hire'!H34,ROUND('New Hire'!H34*$B$4,0))</f>
        <v>0</v>
      </c>
      <c r="H132" s="443">
        <f>IF(OR(H18="A",H18="B"),'New Hire'!I34,ROUND('New Hire'!I34*$B$4,0))</f>
        <v>11602500</v>
      </c>
      <c r="I132" s="443">
        <f>IF(OR(I18="A",I18="B"),'New Hire'!J34,ROUND('New Hire'!J34*$B$4,0))</f>
        <v>0</v>
      </c>
      <c r="J132" s="443">
        <f>IF(OR(J18="A",J18="B"),'New Hire'!K34,ROUND('New Hire'!K34*$B$4,0))</f>
        <v>5000000</v>
      </c>
      <c r="K132" s="443">
        <f>IF(OR(K18="A",K18="B"),'New Hire'!L34,ROUND('New Hire'!L34*$B$4,0))</f>
        <v>800000</v>
      </c>
      <c r="L132" s="443">
        <f>IF(OR(L18="A",L18="B"),'New Hire'!M34,ROUND('New Hire'!M34*$B$4,0))</f>
        <v>0</v>
      </c>
      <c r="M132" s="443">
        <f>IF(OR(M18="A",M18="B"),'New Hire'!N34,ROUND('New Hire'!N34*$B$4,0))</f>
        <v>1000000</v>
      </c>
      <c r="N132" s="443">
        <f>IF(OR(N18="A",N18="B"),'New Hire'!O34,ROUND('New Hire'!O34*$B$4,0))</f>
        <v>1000000</v>
      </c>
      <c r="O132" s="443">
        <f>IF(OR(O18="A",O18="B"),'New Hire'!P34,ROUND('New Hire'!P34*$B$4,0))</f>
        <v>0</v>
      </c>
      <c r="P132" s="339">
        <f t="shared" si="46"/>
        <v>21052500</v>
      </c>
    </row>
    <row r="133" spans="1:16">
      <c r="A133" s="408" t="s">
        <v>566</v>
      </c>
      <c r="B133" s="443">
        <f>IF(OR(B18="A",B18="B"),'New Hire'!C36,ROUND('New Hire'!C36*$B$4,0))</f>
        <v>1000000</v>
      </c>
      <c r="C133" s="443">
        <f>IF(OR(C18="A",C18="B"),'New Hire'!D36,ROUND('New Hire'!D36*$B$4,0))</f>
        <v>900000</v>
      </c>
      <c r="D133" s="443">
        <f>IF(OR(D18="A",D18="B"),'New Hire'!E36,ROUND('New Hire'!E36*$B$4,0))</f>
        <v>1400000</v>
      </c>
      <c r="E133" s="443">
        <f>IF(OR(E18="A",E18="B"),'New Hire'!F36,ROUND('New Hire'!F36*$B$4,0))</f>
        <v>0</v>
      </c>
      <c r="F133" s="443">
        <f>IF(OR(F18="A",F18="B"),'New Hire'!G36,ROUND('New Hire'!G36*$B$4,0))</f>
        <v>0</v>
      </c>
      <c r="G133" s="443">
        <f>IF(OR(G18="A",G18="B"),'New Hire'!H36,ROUND('New Hire'!H36*$B$4,0))</f>
        <v>0</v>
      </c>
      <c r="H133" s="443">
        <f>IF(OR(H18="A",H18="B"),'New Hire'!I36,ROUND('New Hire'!I36*$B$4,0))</f>
        <v>23205000</v>
      </c>
      <c r="I133" s="443">
        <f>IF(OR(I18="A",I18="B"),'New Hire'!J36,ROUND('New Hire'!J36*$B$4,0))</f>
        <v>0</v>
      </c>
      <c r="J133" s="443">
        <f>IF(OR(J18="A",J18="B"),'New Hire'!K36,ROUND('New Hire'!K36*$B$4,0))</f>
        <v>10000000</v>
      </c>
      <c r="K133" s="443">
        <f>IF(OR(K18="A",K18="B"),'New Hire'!L36,ROUND('New Hire'!L36*$B$4,0))</f>
        <v>1600000</v>
      </c>
      <c r="L133" s="443">
        <f>IF(OR(L18="A",L18="B"),'New Hire'!M36,ROUND('New Hire'!M36*$B$4,0))</f>
        <v>0</v>
      </c>
      <c r="M133" s="443">
        <f>IF(OR(M18="A",M18="B"),'New Hire'!N36,ROUND('New Hire'!N36*$B$4,0))</f>
        <v>1500000</v>
      </c>
      <c r="N133" s="443">
        <f>IF(OR(N18="A",N18="B"),'New Hire'!O36,ROUND('New Hire'!O36*$B$4,0))</f>
        <v>1500000</v>
      </c>
      <c r="O133" s="443">
        <f>IF(OR(O18="A",O18="B"),'New Hire'!P36,ROUND('New Hire'!P36*$B$4,0))</f>
        <v>0</v>
      </c>
      <c r="P133" s="339">
        <f t="shared" si="46"/>
        <v>41105000</v>
      </c>
    </row>
    <row r="134" spans="1:16">
      <c r="A134" s="416" t="s">
        <v>493</v>
      </c>
      <c r="B134" s="443">
        <v>3000000</v>
      </c>
      <c r="C134" s="443">
        <v>3000000</v>
      </c>
      <c r="D134" s="443">
        <v>3000000</v>
      </c>
      <c r="E134" s="443">
        <v>3000000</v>
      </c>
      <c r="F134" s="443">
        <v>3000000</v>
      </c>
      <c r="G134" s="444">
        <v>0</v>
      </c>
      <c r="H134" s="444">
        <v>0</v>
      </c>
      <c r="I134" s="444">
        <v>0</v>
      </c>
      <c r="J134" s="444">
        <v>0</v>
      </c>
      <c r="K134" s="444">
        <v>0</v>
      </c>
      <c r="L134" s="444">
        <v>0</v>
      </c>
      <c r="M134" s="444">
        <v>0</v>
      </c>
      <c r="N134" s="444">
        <v>0</v>
      </c>
      <c r="O134" s="444">
        <v>0</v>
      </c>
      <c r="P134" s="339">
        <f t="shared" si="46"/>
        <v>15000000</v>
      </c>
    </row>
    <row r="135" spans="1:16">
      <c r="A135" s="416" t="s">
        <v>1184</v>
      </c>
      <c r="B135" s="443">
        <f>AA57</f>
        <v>1500000</v>
      </c>
      <c r="C135" s="443">
        <f>AA58</f>
        <v>1500000</v>
      </c>
      <c r="D135" s="443">
        <f>AA59</f>
        <v>1500000</v>
      </c>
      <c r="E135" s="443"/>
      <c r="F135" s="443"/>
      <c r="G135" s="444"/>
      <c r="H135" s="444">
        <f>AA60*B4</f>
        <v>2320500</v>
      </c>
      <c r="I135" s="444"/>
      <c r="J135" s="444"/>
      <c r="K135" s="444"/>
      <c r="L135" s="444"/>
      <c r="M135" s="444"/>
      <c r="N135" s="444"/>
      <c r="O135" s="444"/>
      <c r="P135" s="339">
        <f t="shared" si="46"/>
        <v>6820500</v>
      </c>
    </row>
    <row r="136" spans="1:16">
      <c r="A136" s="405" t="s">
        <v>528</v>
      </c>
      <c r="B136" s="443">
        <v>2000000</v>
      </c>
      <c r="C136" s="443">
        <v>2000000</v>
      </c>
      <c r="D136" s="443">
        <v>2000000</v>
      </c>
      <c r="E136" s="443"/>
      <c r="F136" s="446"/>
      <c r="G136" s="446"/>
      <c r="H136" s="444">
        <f>350*B4</f>
        <v>8121750</v>
      </c>
      <c r="I136" s="444">
        <f>335*B4</f>
        <v>7773675</v>
      </c>
      <c r="J136" s="446"/>
      <c r="K136" s="446"/>
      <c r="L136" s="446"/>
      <c r="M136" s="446"/>
      <c r="N136" s="446"/>
      <c r="O136" s="446"/>
      <c r="P136" s="339">
        <f t="shared" si="46"/>
        <v>21895425</v>
      </c>
    </row>
    <row r="137" spans="1:16">
      <c r="A137" s="416" t="s">
        <v>592</v>
      </c>
      <c r="B137" s="326">
        <v>1800000</v>
      </c>
      <c r="C137" s="326">
        <v>1800000</v>
      </c>
      <c r="D137" s="326">
        <v>1800000</v>
      </c>
      <c r="E137" s="326">
        <v>1800000</v>
      </c>
      <c r="F137" s="326">
        <v>1800000</v>
      </c>
      <c r="G137" s="334"/>
      <c r="H137" s="326"/>
      <c r="I137" s="326"/>
      <c r="J137" s="446"/>
      <c r="K137" s="446"/>
      <c r="L137" s="446"/>
      <c r="M137" s="446"/>
      <c r="N137" s="446"/>
      <c r="O137" s="446"/>
      <c r="P137" s="339">
        <f t="shared" si="46"/>
        <v>9000000</v>
      </c>
    </row>
    <row r="138" spans="1:16">
      <c r="A138" s="408" t="s">
        <v>491</v>
      </c>
      <c r="B138" s="443"/>
      <c r="C138" s="326">
        <v>730000</v>
      </c>
      <c r="D138" s="326">
        <v>730000</v>
      </c>
      <c r="E138" s="447"/>
      <c r="F138" s="334"/>
      <c r="G138" s="334"/>
      <c r="H138" s="326"/>
      <c r="I138" s="326"/>
      <c r="J138" s="446"/>
      <c r="K138" s="326">
        <v>730000</v>
      </c>
      <c r="L138" s="446"/>
      <c r="M138" s="446"/>
      <c r="N138" s="446"/>
      <c r="O138" s="446"/>
      <c r="P138" s="339">
        <f t="shared" si="46"/>
        <v>2190000</v>
      </c>
    </row>
    <row r="139" spans="1:16">
      <c r="A139" s="408" t="s">
        <v>497</v>
      </c>
      <c r="B139" s="443">
        <v>2000000</v>
      </c>
      <c r="C139" s="443">
        <v>2000000</v>
      </c>
      <c r="D139" s="443">
        <v>2000000</v>
      </c>
      <c r="E139" s="447"/>
      <c r="F139" s="334"/>
      <c r="G139" s="334"/>
      <c r="H139" s="326"/>
      <c r="I139" s="326"/>
      <c r="J139" s="446"/>
      <c r="K139" s="446"/>
      <c r="L139" s="446"/>
      <c r="M139" s="446"/>
      <c r="N139" s="446"/>
      <c r="O139" s="446"/>
      <c r="P139" s="339">
        <f t="shared" si="46"/>
        <v>6000000</v>
      </c>
    </row>
    <row r="140" spans="1:16">
      <c r="A140" s="6" t="s">
        <v>623</v>
      </c>
      <c r="B140" s="443"/>
      <c r="C140" s="443"/>
      <c r="D140" s="443"/>
      <c r="E140" s="447"/>
      <c r="F140" s="334"/>
      <c r="G140" s="334"/>
      <c r="H140" s="326"/>
      <c r="I140" s="326"/>
      <c r="J140" s="446"/>
      <c r="K140" s="446"/>
      <c r="L140" s="446"/>
      <c r="M140" s="446"/>
      <c r="N140" s="446"/>
      <c r="O140" s="446"/>
      <c r="P140" s="339">
        <f t="shared" si="46"/>
        <v>0</v>
      </c>
    </row>
    <row r="141" spans="1:16">
      <c r="A141" s="6" t="s">
        <v>624</v>
      </c>
      <c r="B141" s="443"/>
      <c r="C141" s="443"/>
      <c r="D141" s="443"/>
      <c r="E141" s="447"/>
      <c r="F141" s="334"/>
      <c r="G141" s="334"/>
      <c r="H141" s="326"/>
      <c r="I141" s="326"/>
      <c r="J141" s="446"/>
      <c r="K141" s="446"/>
      <c r="L141" s="446"/>
      <c r="M141" s="446"/>
      <c r="N141" s="446"/>
      <c r="O141" s="446"/>
      <c r="P141" s="339">
        <f t="shared" si="46"/>
        <v>0</v>
      </c>
    </row>
    <row r="142" spans="1:16">
      <c r="A142" s="6" t="s">
        <v>625</v>
      </c>
      <c r="B142" s="443"/>
      <c r="C142" s="443"/>
      <c r="D142" s="443"/>
      <c r="E142" s="443"/>
      <c r="F142" s="446"/>
      <c r="G142" s="447"/>
      <c r="H142" s="334"/>
      <c r="I142" s="334"/>
      <c r="J142" s="326"/>
      <c r="K142" s="326"/>
      <c r="L142" s="334"/>
      <c r="M142" s="446"/>
      <c r="N142" s="446"/>
      <c r="O142" s="446"/>
      <c r="P142" s="339">
        <f t="shared" si="46"/>
        <v>0</v>
      </c>
    </row>
    <row r="143" spans="1:16">
      <c r="A143" s="405" t="s">
        <v>606</v>
      </c>
      <c r="B143" s="443"/>
      <c r="C143" s="443"/>
      <c r="D143" s="443"/>
      <c r="E143" s="443"/>
      <c r="F143" s="446"/>
      <c r="G143" s="447"/>
      <c r="H143" s="334">
        <f>100*B4</f>
        <v>2320500</v>
      </c>
      <c r="I143" s="334">
        <f>100*B4</f>
        <v>2320500</v>
      </c>
      <c r="J143" s="326"/>
      <c r="K143" s="446"/>
      <c r="L143" s="334"/>
      <c r="M143" s="446"/>
      <c r="N143" s="446"/>
      <c r="O143" s="446"/>
      <c r="P143" s="339">
        <f t="shared" si="46"/>
        <v>4641000</v>
      </c>
    </row>
    <row r="144" spans="1:16">
      <c r="A144" s="405" t="s">
        <v>607</v>
      </c>
      <c r="B144" s="443"/>
      <c r="C144" s="443"/>
      <c r="D144" s="443"/>
      <c r="E144" s="443"/>
      <c r="F144" s="446"/>
      <c r="G144" s="447"/>
      <c r="H144" s="334">
        <f>200*B4</f>
        <v>4641000</v>
      </c>
      <c r="I144" s="334">
        <f>200*B4</f>
        <v>4641000</v>
      </c>
      <c r="J144" s="326"/>
      <c r="K144" s="446"/>
      <c r="L144" s="334"/>
      <c r="M144" s="446"/>
      <c r="N144" s="446"/>
      <c r="O144" s="446"/>
      <c r="P144" s="339">
        <f t="shared" si="46"/>
        <v>9282000</v>
      </c>
    </row>
    <row r="145" spans="1:16">
      <c r="A145" s="6" t="s">
        <v>1262</v>
      </c>
      <c r="B145" s="443">
        <f>B130-B143-B144</f>
        <v>5000000</v>
      </c>
      <c r="C145" s="443">
        <f t="shared" ref="C145:O145" si="49">C130-C143-C144</f>
        <v>4500000</v>
      </c>
      <c r="D145" s="443">
        <f t="shared" si="49"/>
        <v>7000000</v>
      </c>
      <c r="E145" s="443">
        <f t="shared" si="49"/>
        <v>9000000</v>
      </c>
      <c r="F145" s="443">
        <f t="shared" si="49"/>
        <v>14000000</v>
      </c>
      <c r="G145" s="443">
        <f t="shared" si="49"/>
        <v>0</v>
      </c>
      <c r="H145" s="443">
        <f t="shared" si="49"/>
        <v>109063500</v>
      </c>
      <c r="I145" s="443">
        <f t="shared" si="49"/>
        <v>85858500</v>
      </c>
      <c r="J145" s="443">
        <f t="shared" si="49"/>
        <v>50000000</v>
      </c>
      <c r="K145" s="443">
        <f t="shared" si="49"/>
        <v>8000000</v>
      </c>
      <c r="L145" s="443">
        <f t="shared" si="49"/>
        <v>90000000</v>
      </c>
      <c r="M145" s="443">
        <f t="shared" si="49"/>
        <v>5000000</v>
      </c>
      <c r="N145" s="443">
        <f t="shared" si="49"/>
        <v>6500000</v>
      </c>
      <c r="O145" s="443">
        <f t="shared" si="49"/>
        <v>0</v>
      </c>
      <c r="P145" s="339">
        <f t="shared" si="46"/>
        <v>393922000</v>
      </c>
    </row>
    <row r="146" spans="1:16">
      <c r="A146" s="487" t="s">
        <v>1263</v>
      </c>
      <c r="B146" s="484"/>
      <c r="C146" s="484"/>
      <c r="D146" s="484"/>
      <c r="E146" s="484"/>
      <c r="F146" s="484"/>
      <c r="G146" s="484"/>
      <c r="H146" s="484"/>
      <c r="I146" s="484"/>
      <c r="J146" s="484">
        <f>'UAT1-Jan'!J133</f>
        <v>50000000</v>
      </c>
      <c r="K146" s="484"/>
      <c r="L146" s="484"/>
      <c r="M146" s="484"/>
      <c r="N146" s="484"/>
      <c r="O146" s="484"/>
      <c r="P146" s="657">
        <f t="shared" si="46"/>
        <v>50000000</v>
      </c>
    </row>
    <row r="147" spans="1:16">
      <c r="A147" s="669" t="s">
        <v>1261</v>
      </c>
      <c r="B147" s="515">
        <f t="shared" ref="B147:O147" si="50">B130-ROUND(B143/B13,0)-ROUND(B144/B13,0)</f>
        <v>5000000</v>
      </c>
      <c r="C147" s="515">
        <f t="shared" si="50"/>
        <v>4500000</v>
      </c>
      <c r="D147" s="515">
        <f t="shared" si="50"/>
        <v>7000000</v>
      </c>
      <c r="E147" s="515">
        <f t="shared" si="50"/>
        <v>9000000</v>
      </c>
      <c r="F147" s="515">
        <f t="shared" si="50"/>
        <v>14000000</v>
      </c>
      <c r="G147" s="515">
        <f t="shared" si="50"/>
        <v>0</v>
      </c>
      <c r="H147" s="515">
        <f t="shared" si="50"/>
        <v>102102000</v>
      </c>
      <c r="I147" s="515">
        <f t="shared" si="50"/>
        <v>83538000</v>
      </c>
      <c r="J147" s="515">
        <f t="shared" si="50"/>
        <v>50000000</v>
      </c>
      <c r="K147" s="515">
        <f t="shared" si="50"/>
        <v>8000000</v>
      </c>
      <c r="L147" s="515">
        <f t="shared" si="50"/>
        <v>90000000</v>
      </c>
      <c r="M147" s="515">
        <f t="shared" si="50"/>
        <v>5000000</v>
      </c>
      <c r="N147" s="515">
        <f t="shared" si="50"/>
        <v>6500000</v>
      </c>
      <c r="O147" s="515">
        <f t="shared" si="50"/>
        <v>0</v>
      </c>
      <c r="P147" s="589">
        <f t="shared" si="46"/>
        <v>384640000</v>
      </c>
    </row>
    <row r="148" spans="1:16">
      <c r="A148" s="487" t="s">
        <v>1264</v>
      </c>
      <c r="B148" s="484"/>
      <c r="C148" s="484"/>
      <c r="D148" s="484"/>
      <c r="E148" s="484"/>
      <c r="F148" s="484"/>
      <c r="G148" s="484"/>
      <c r="H148" s="484"/>
      <c r="I148" s="484"/>
      <c r="J148" s="484">
        <f>'UAT1-Jan'!J134</f>
        <v>50000000</v>
      </c>
      <c r="K148" s="484"/>
      <c r="L148" s="484"/>
      <c r="M148" s="484"/>
      <c r="N148" s="484"/>
      <c r="O148" s="484"/>
      <c r="P148" s="657">
        <f t="shared" si="46"/>
        <v>50000000</v>
      </c>
    </row>
    <row r="149" spans="1:16">
      <c r="A149" s="6" t="s">
        <v>628</v>
      </c>
      <c r="B149" s="443">
        <f t="shared" ref="B149:O149" si="51">MIN(IF(OR(B18="A",B18="B"),0,ROUND((B147+B132+B133+B135+B136)*B13/$B$4,0)*$B$5),27800000)</f>
        <v>0</v>
      </c>
      <c r="C149" s="443">
        <f t="shared" si="51"/>
        <v>0</v>
      </c>
      <c r="D149" s="443">
        <f t="shared" si="51"/>
        <v>0</v>
      </c>
      <c r="E149" s="443">
        <f t="shared" si="51"/>
        <v>0</v>
      </c>
      <c r="F149" s="443">
        <f t="shared" si="51"/>
        <v>0</v>
      </c>
      <c r="G149" s="443">
        <f t="shared" si="51"/>
        <v>0</v>
      </c>
      <c r="H149" s="443">
        <f t="shared" si="51"/>
        <v>27800000</v>
      </c>
      <c r="I149" s="443">
        <f t="shared" si="51"/>
        <v>27800000</v>
      </c>
      <c r="J149" s="443">
        <f t="shared" si="51"/>
        <v>0</v>
      </c>
      <c r="K149" s="443">
        <f t="shared" si="51"/>
        <v>0</v>
      </c>
      <c r="L149" s="443">
        <f t="shared" si="51"/>
        <v>0</v>
      </c>
      <c r="M149" s="443">
        <f t="shared" si="51"/>
        <v>0</v>
      </c>
      <c r="N149" s="443">
        <f t="shared" si="51"/>
        <v>0</v>
      </c>
      <c r="O149" s="443">
        <f t="shared" si="51"/>
        <v>0</v>
      </c>
      <c r="P149" s="339">
        <f t="shared" si="46"/>
        <v>55600000</v>
      </c>
    </row>
    <row r="150" spans="1:16">
      <c r="A150" s="6" t="s">
        <v>1201</v>
      </c>
      <c r="B150" s="443">
        <f t="shared" ref="B150:O150" si="52">IF(OR(B18="A",B18="B"),0,ROUND((B147+B132+B133+B135+B136)*B13/$B$4,0)*$B$5)</f>
        <v>0</v>
      </c>
      <c r="C150" s="443">
        <f t="shared" si="52"/>
        <v>0</v>
      </c>
      <c r="D150" s="443">
        <f t="shared" si="52"/>
        <v>0</v>
      </c>
      <c r="E150" s="443">
        <f t="shared" si="52"/>
        <v>0</v>
      </c>
      <c r="F150" s="443">
        <f t="shared" si="52"/>
        <v>0</v>
      </c>
      <c r="G150" s="443">
        <f t="shared" si="52"/>
        <v>0</v>
      </c>
      <c r="H150" s="443">
        <f t="shared" si="52"/>
        <v>74612500</v>
      </c>
      <c r="I150" s="443">
        <f t="shared" si="52"/>
        <v>69348500</v>
      </c>
      <c r="J150" s="443">
        <f t="shared" si="52"/>
        <v>0</v>
      </c>
      <c r="K150" s="443">
        <f t="shared" si="52"/>
        <v>0</v>
      </c>
      <c r="L150" s="443">
        <f t="shared" si="52"/>
        <v>0</v>
      </c>
      <c r="M150" s="443">
        <f t="shared" si="52"/>
        <v>0</v>
      </c>
      <c r="N150" s="443">
        <f t="shared" si="52"/>
        <v>0</v>
      </c>
      <c r="O150" s="443">
        <f t="shared" si="52"/>
        <v>0</v>
      </c>
      <c r="P150" s="339">
        <f t="shared" si="46"/>
        <v>143961000</v>
      </c>
    </row>
    <row r="151" spans="1:16">
      <c r="A151" s="6" t="s">
        <v>657</v>
      </c>
      <c r="B151" s="5">
        <v>0</v>
      </c>
      <c r="C151" s="5">
        <v>0</v>
      </c>
      <c r="D151" s="5">
        <v>0</v>
      </c>
      <c r="E151" s="5">
        <v>0</v>
      </c>
      <c r="F151" s="5">
        <v>0</v>
      </c>
      <c r="G151" s="5">
        <v>0</v>
      </c>
      <c r="H151" s="5">
        <v>0</v>
      </c>
      <c r="I151" s="5">
        <v>0</v>
      </c>
      <c r="J151" s="5">
        <v>0</v>
      </c>
      <c r="K151" s="5">
        <v>0</v>
      </c>
      <c r="L151" s="5">
        <v>0</v>
      </c>
      <c r="M151" s="5">
        <v>0</v>
      </c>
      <c r="N151" s="5">
        <v>0</v>
      </c>
      <c r="O151" s="5">
        <v>0</v>
      </c>
      <c r="P151" s="339">
        <f t="shared" si="46"/>
        <v>0</v>
      </c>
    </row>
  </sheetData>
  <mergeCells count="4">
    <mergeCell ref="G6:J6"/>
    <mergeCell ref="X6:AA6"/>
    <mergeCell ref="P7:P8"/>
    <mergeCell ref="X9:AA12"/>
  </mergeCells>
  <phoneticPr fontId="104" type="noConversion"/>
  <pageMargins left="0.75" right="0.75" top="1" bottom="1" header="0.5" footer="0.5"/>
  <pageSetup paperSize="9" orientation="portrait" verticalDpi="90" r:id="rId1"/>
  <headerFooter alignWithMargins="0"/>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C145"/>
  <sheetViews>
    <sheetView zoomScaleNormal="100" workbookViewId="0">
      <pane xSplit="1" ySplit="9" topLeftCell="B10" activePane="bottomRight" state="frozen"/>
      <selection pane="topRight" activeCell="B1" sqref="B1"/>
      <selection pane="bottomLeft" activeCell="A10" sqref="A10"/>
      <selection pane="bottomRight" activeCell="I77" sqref="I77"/>
    </sheetView>
  </sheetViews>
  <sheetFormatPr defaultRowHeight="13.8"/>
  <cols>
    <col min="1" max="1" width="31" style="5" bestFit="1" customWidth="1"/>
    <col min="2" max="5" width="10.77734375" style="5" customWidth="1"/>
    <col min="6" max="8" width="10.77734375" customWidth="1"/>
    <col min="9" max="9" width="12.6640625" bestFit="1" customWidth="1"/>
    <col min="10" max="15" width="10.77734375" customWidth="1"/>
    <col min="16" max="16" width="12.6640625" bestFit="1" customWidth="1"/>
    <col min="17" max="18" width="12.77734375" customWidth="1"/>
    <col min="19" max="21" width="10.77734375" customWidth="1"/>
    <col min="22" max="26" width="9.33203125" style="5" customWidth="1"/>
    <col min="27" max="27" width="10.77734375" style="5" bestFit="1" customWidth="1"/>
    <col min="28" max="29" width="9.33203125" style="5" customWidth="1"/>
  </cols>
  <sheetData>
    <row r="1" spans="1:29" s="3" customFormat="1" ht="20.399999999999999">
      <c r="A1" s="104" t="s">
        <v>6</v>
      </c>
      <c r="B1" s="104"/>
      <c r="C1" s="104"/>
      <c r="D1" s="104"/>
      <c r="E1" s="104"/>
      <c r="F1" s="369"/>
      <c r="L1" s="8"/>
      <c r="X1" s="1"/>
      <c r="Y1" s="1"/>
      <c r="Z1" s="1"/>
      <c r="AA1" s="1"/>
      <c r="AB1" s="1"/>
      <c r="AC1" s="1"/>
    </row>
    <row r="2" spans="1:29" s="3" customFormat="1" ht="12.75" customHeight="1">
      <c r="B2" s="110"/>
      <c r="C2" s="110"/>
      <c r="D2" s="110"/>
      <c r="E2" s="109"/>
      <c r="V2" s="22"/>
      <c r="W2" s="22"/>
      <c r="X2" s="22"/>
      <c r="Y2" s="22"/>
      <c r="Z2" s="22"/>
      <c r="AA2" s="2"/>
      <c r="AC2" s="2"/>
    </row>
    <row r="3" spans="1:29" s="3" customFormat="1" ht="30">
      <c r="A3" s="106" t="s">
        <v>1231</v>
      </c>
      <c r="B3" s="110"/>
      <c r="C3" s="110"/>
      <c r="D3" s="110"/>
      <c r="E3" s="106"/>
      <c r="V3" s="22"/>
      <c r="W3" s="22"/>
      <c r="X3" s="22"/>
      <c r="Y3" s="22"/>
      <c r="Z3" s="22"/>
      <c r="AA3" s="2"/>
      <c r="AC3" s="2"/>
    </row>
    <row r="4" spans="1:29" s="110" customFormat="1">
      <c r="A4" s="110" t="s">
        <v>1265</v>
      </c>
      <c r="B4" s="361">
        <v>23205</v>
      </c>
    </row>
    <row r="5" spans="1:29" s="110" customFormat="1">
      <c r="A5" s="110" t="s">
        <v>1268</v>
      </c>
      <c r="B5" s="361">
        <v>23500</v>
      </c>
    </row>
    <row r="6" spans="1:29" s="3" customFormat="1" ht="18" customHeight="1">
      <c r="A6" s="321">
        <v>43555</v>
      </c>
      <c r="B6" s="110"/>
      <c r="C6" s="110"/>
      <c r="D6" s="110"/>
      <c r="G6" s="748" t="s">
        <v>52</v>
      </c>
      <c r="H6" s="748"/>
      <c r="I6" s="748"/>
      <c r="J6" s="748"/>
      <c r="V6" s="22"/>
      <c r="W6" s="22"/>
      <c r="X6" s="747" t="s">
        <v>65</v>
      </c>
      <c r="Y6" s="747"/>
      <c r="Z6" s="747"/>
      <c r="AA6" s="747"/>
      <c r="AB6" s="2"/>
      <c r="AC6" s="2"/>
    </row>
    <row r="7" spans="1:29" s="4" customFormat="1">
      <c r="A7" s="402"/>
      <c r="B7" s="317" t="s">
        <v>34</v>
      </c>
      <c r="C7" s="318" t="s">
        <v>35</v>
      </c>
      <c r="D7" s="318" t="s">
        <v>36</v>
      </c>
      <c r="E7" s="318" t="s">
        <v>37</v>
      </c>
      <c r="F7" s="318" t="s">
        <v>38</v>
      </c>
      <c r="G7" s="318" t="s">
        <v>39</v>
      </c>
      <c r="H7" s="318" t="s">
        <v>40</v>
      </c>
      <c r="I7" s="318" t="s">
        <v>41</v>
      </c>
      <c r="J7" s="318" t="s">
        <v>42</v>
      </c>
      <c r="K7" s="318" t="s">
        <v>43</v>
      </c>
      <c r="L7" s="318" t="s">
        <v>44</v>
      </c>
      <c r="M7" s="318" t="s">
        <v>45</v>
      </c>
      <c r="N7" s="318" t="s">
        <v>46</v>
      </c>
      <c r="O7" s="318" t="s">
        <v>47</v>
      </c>
      <c r="P7" s="758" t="s">
        <v>498</v>
      </c>
      <c r="Q7" s="343" t="s">
        <v>514</v>
      </c>
      <c r="R7" s="343" t="s">
        <v>515</v>
      </c>
      <c r="S7" s="343" t="s">
        <v>517</v>
      </c>
      <c r="T7" s="343" t="s">
        <v>519</v>
      </c>
      <c r="U7" s="343" t="s">
        <v>521</v>
      </c>
      <c r="V7" s="344"/>
      <c r="W7" s="345"/>
      <c r="X7" s="345"/>
      <c r="Y7" s="345"/>
      <c r="Z7" s="345"/>
      <c r="AA7" s="345"/>
      <c r="AB7" s="345"/>
      <c r="AC7" s="346"/>
    </row>
    <row r="8" spans="1:29" ht="15.6">
      <c r="A8" s="403"/>
      <c r="B8" s="111">
        <f>'New Hire'!C6</f>
        <v>91999901</v>
      </c>
      <c r="C8" s="333">
        <f>'New Hire'!D6</f>
        <v>91999902</v>
      </c>
      <c r="D8" s="333">
        <f>'New Hire'!E6</f>
        <v>91999903</v>
      </c>
      <c r="E8" s="333">
        <f>'New Hire'!F6</f>
        <v>91999904</v>
      </c>
      <c r="F8" s="333">
        <f>'New Hire'!G6</f>
        <v>91999905</v>
      </c>
      <c r="G8" s="333">
        <f>'New Hire'!H6</f>
        <v>91999906</v>
      </c>
      <c r="H8" s="333">
        <f>'New Hire'!I6</f>
        <v>91999907</v>
      </c>
      <c r="I8" s="333">
        <f>'New Hire'!J6</f>
        <v>91999908</v>
      </c>
      <c r="J8" s="333">
        <f>'New Hire'!K6</f>
        <v>91999909</v>
      </c>
      <c r="K8" s="333">
        <f>'New Hire'!L6</f>
        <v>91999910</v>
      </c>
      <c r="L8" s="333">
        <f>'New Hire'!M6</f>
        <v>91999911</v>
      </c>
      <c r="M8" s="333">
        <f>'New Hire'!N6</f>
        <v>91999912</v>
      </c>
      <c r="N8" s="333">
        <f>'New Hire'!O6</f>
        <v>91999913</v>
      </c>
      <c r="O8" s="333">
        <f>'New Hire'!P6</f>
        <v>91999914</v>
      </c>
      <c r="P8" s="759"/>
      <c r="Q8" s="343" t="s">
        <v>513</v>
      </c>
      <c r="R8" s="343" t="s">
        <v>516</v>
      </c>
      <c r="S8" s="343" t="s">
        <v>518</v>
      </c>
      <c r="T8" s="343" t="s">
        <v>520</v>
      </c>
      <c r="U8" s="343" t="s">
        <v>522</v>
      </c>
      <c r="V8" s="47"/>
      <c r="W8" s="48"/>
      <c r="X8" s="20"/>
      <c r="Y8" s="20"/>
      <c r="Z8" s="20"/>
      <c r="AA8" s="20"/>
      <c r="AB8" s="20"/>
      <c r="AC8" s="15"/>
    </row>
    <row r="9" spans="1:29" ht="12.75" customHeight="1">
      <c r="A9" s="404" t="s">
        <v>63</v>
      </c>
      <c r="B9" s="23"/>
      <c r="C9" s="19"/>
      <c r="D9" s="19"/>
      <c r="E9" s="20"/>
      <c r="F9" s="19"/>
      <c r="G9" s="19"/>
      <c r="H9" s="21"/>
      <c r="I9" s="19"/>
      <c r="J9" s="19"/>
      <c r="K9" s="20"/>
      <c r="L9" s="20"/>
      <c r="M9" s="20"/>
      <c r="N9" s="20"/>
      <c r="O9" s="20"/>
      <c r="P9" s="336"/>
      <c r="Q9" s="20"/>
      <c r="R9" s="20"/>
      <c r="S9" s="20"/>
      <c r="T9" s="20"/>
      <c r="U9" s="20"/>
      <c r="V9" s="25"/>
      <c r="W9" s="26"/>
      <c r="X9" s="749" t="s">
        <v>601</v>
      </c>
      <c r="Y9" s="750"/>
      <c r="Z9" s="750"/>
      <c r="AA9" s="751"/>
      <c r="AB9" s="27"/>
      <c r="AC9" s="18"/>
    </row>
    <row r="10" spans="1:29">
      <c r="A10" s="417" t="s">
        <v>478</v>
      </c>
      <c r="B10" s="379">
        <v>43525</v>
      </c>
      <c r="C10" s="379">
        <v>43525</v>
      </c>
      <c r="D10" s="379">
        <v>43525</v>
      </c>
      <c r="E10" s="379">
        <v>43525</v>
      </c>
      <c r="F10" s="379">
        <v>43525</v>
      </c>
      <c r="G10" s="379">
        <v>43525</v>
      </c>
      <c r="H10" s="379">
        <v>43525</v>
      </c>
      <c r="I10" s="379">
        <v>43525</v>
      </c>
      <c r="J10" s="379">
        <v>43525</v>
      </c>
      <c r="K10" s="379">
        <v>43525</v>
      </c>
      <c r="L10" s="379">
        <v>43525</v>
      </c>
      <c r="M10" s="379">
        <v>43525</v>
      </c>
      <c r="N10" s="379">
        <v>43525</v>
      </c>
      <c r="O10" s="380">
        <v>43525</v>
      </c>
      <c r="P10" s="15"/>
      <c r="Q10" s="20"/>
      <c r="R10" s="20"/>
      <c r="S10" s="20"/>
      <c r="T10" s="20"/>
      <c r="U10" s="20"/>
      <c r="V10" s="28"/>
      <c r="W10" s="29"/>
      <c r="X10" s="752"/>
      <c r="Y10" s="753"/>
      <c r="Z10" s="753"/>
      <c r="AA10" s="754"/>
      <c r="AB10" s="30"/>
      <c r="AC10" s="15"/>
    </row>
    <row r="11" spans="1:29" ht="12.75" customHeight="1">
      <c r="A11" s="98" t="s">
        <v>489</v>
      </c>
      <c r="B11" s="381" t="str">
        <f>'New Hire'!C10</f>
        <v>1</v>
      </c>
      <c r="C11" s="382" t="str">
        <f>'New Hire'!D10</f>
        <v>P</v>
      </c>
      <c r="D11" s="382" t="str">
        <f>'New Hire'!E10</f>
        <v>3</v>
      </c>
      <c r="E11" s="382" t="str">
        <f>'New Hire'!F10</f>
        <v>3</v>
      </c>
      <c r="F11" s="382">
        <f>'New Hire'!G10</f>
        <v>4</v>
      </c>
      <c r="G11" s="382" t="str">
        <f>'New Hire'!H10</f>
        <v>C</v>
      </c>
      <c r="H11" s="382" t="str">
        <f>'New Hire'!I10</f>
        <v>I</v>
      </c>
      <c r="I11" s="382" t="str">
        <f>'New Hire'!J10</f>
        <v>S</v>
      </c>
      <c r="J11" s="382" t="str">
        <f>'New Hire'!K10</f>
        <v>P</v>
      </c>
      <c r="K11" s="382" t="str">
        <f>'New Hire'!L10</f>
        <v>1</v>
      </c>
      <c r="L11" s="382" t="str">
        <f>'New Hire'!M10</f>
        <v>1</v>
      </c>
      <c r="M11" s="382">
        <f>'New Hire'!N10</f>
        <v>3</v>
      </c>
      <c r="N11" s="382">
        <f>'New Hire'!O10</f>
        <v>3</v>
      </c>
      <c r="O11" s="383" t="str">
        <f>'New Hire'!P10</f>
        <v>C</v>
      </c>
      <c r="P11" s="15"/>
      <c r="Q11" s="20"/>
      <c r="R11" s="20"/>
      <c r="S11" s="20"/>
      <c r="T11" s="20"/>
      <c r="U11" s="20"/>
      <c r="V11" s="32"/>
      <c r="W11" s="20"/>
      <c r="X11" s="752"/>
      <c r="Y11" s="753"/>
      <c r="Z11" s="753"/>
      <c r="AA11" s="754"/>
      <c r="AB11" s="20"/>
      <c r="AC11" s="15"/>
    </row>
    <row r="12" spans="1:29" ht="12.75" customHeight="1">
      <c r="A12" s="98" t="s">
        <v>490</v>
      </c>
      <c r="B12" s="384" t="str">
        <f>'New Hire'!C11</f>
        <v>;P</v>
      </c>
      <c r="C12" s="385" t="str">
        <f>'New Hire'!D11</f>
        <v>;A</v>
      </c>
      <c r="D12" s="385" t="str">
        <f>'New Hire'!E11</f>
        <v>;E</v>
      </c>
      <c r="E12" s="385" t="str">
        <f>'New Hire'!F11</f>
        <v>;I</v>
      </c>
      <c r="F12" s="385" t="str">
        <f>'New Hire'!G11</f>
        <v>;P</v>
      </c>
      <c r="G12" s="385" t="str">
        <f>'New Hire'!H11</f>
        <v>;A</v>
      </c>
      <c r="H12" s="385" t="str">
        <f>'New Hire'!I11</f>
        <v>;A</v>
      </c>
      <c r="I12" s="385" t="str">
        <f>'New Hire'!J11</f>
        <v>;V</v>
      </c>
      <c r="J12" s="385" t="str">
        <f>'New Hire'!K11</f>
        <v>;P</v>
      </c>
      <c r="K12" s="385" t="str">
        <f>'New Hire'!L11</f>
        <v>;A</v>
      </c>
      <c r="L12" s="385" t="str">
        <f>'New Hire'!M11</f>
        <v>;I</v>
      </c>
      <c r="M12" s="385" t="str">
        <f>'New Hire'!N11</f>
        <v>;P</v>
      </c>
      <c r="N12" s="385" t="str">
        <f>'New Hire'!O11</f>
        <v>;P</v>
      </c>
      <c r="O12" s="386" t="str">
        <f>'New Hire'!P11</f>
        <v>;I</v>
      </c>
      <c r="P12" s="15"/>
      <c r="Q12" s="20"/>
      <c r="R12" s="20"/>
      <c r="S12" s="20"/>
      <c r="T12" s="20"/>
      <c r="U12" s="20"/>
      <c r="V12" s="32"/>
      <c r="W12" s="20"/>
      <c r="X12" s="755"/>
      <c r="Y12" s="756"/>
      <c r="Z12" s="756"/>
      <c r="AA12" s="757"/>
      <c r="AB12" s="20"/>
      <c r="AC12" s="15"/>
    </row>
    <row r="13" spans="1:29">
      <c r="A13" s="99" t="s">
        <v>476</v>
      </c>
      <c r="B13" s="648">
        <f>'New Hire'!C27</f>
        <v>1</v>
      </c>
      <c r="C13" s="649">
        <f>'New Hire'!D27</f>
        <v>0.9</v>
      </c>
      <c r="D13" s="649">
        <f>'New Hire'!E27</f>
        <v>1</v>
      </c>
      <c r="E13" s="649">
        <f>'New Hire'!F27</f>
        <v>1</v>
      </c>
      <c r="F13" s="649">
        <f>'New Hire'!G27</f>
        <v>0.8</v>
      </c>
      <c r="G13" s="649">
        <f>'New Hire'!H27</f>
        <v>1</v>
      </c>
      <c r="H13" s="649">
        <f>'New Hire'!I27</f>
        <v>0.5</v>
      </c>
      <c r="I13" s="649">
        <f>'New Hire'!J27</f>
        <v>0.75</v>
      </c>
      <c r="J13" s="649">
        <f>'New Hire'!K27</f>
        <v>0.6</v>
      </c>
      <c r="K13" s="649">
        <f>'New Hire'!L27</f>
        <v>1</v>
      </c>
      <c r="L13" s="649">
        <f>'New Hire'!M27</f>
        <v>1</v>
      </c>
      <c r="M13" s="649">
        <f>'New Hire'!N27</f>
        <v>1</v>
      </c>
      <c r="N13" s="649">
        <f>'New Hire'!O27</f>
        <v>1</v>
      </c>
      <c r="O13" s="652">
        <f>'New Hire'!P27</f>
        <v>1</v>
      </c>
      <c r="P13" s="15"/>
      <c r="Q13" s="20"/>
      <c r="R13" s="20"/>
      <c r="S13" s="20"/>
      <c r="T13" s="20"/>
      <c r="U13" s="20"/>
      <c r="V13" s="23"/>
      <c r="W13" s="19"/>
      <c r="X13" s="19"/>
      <c r="Y13" s="19"/>
      <c r="Z13" s="19"/>
      <c r="AA13" s="19"/>
      <c r="AB13" s="19"/>
      <c r="AC13" s="31"/>
    </row>
    <row r="14" spans="1:29">
      <c r="A14" s="98" t="s">
        <v>479</v>
      </c>
      <c r="B14" s="388">
        <f t="shared" ref="B14:O14" si="0">NETWORKDAYS(B10,$A$6)</f>
        <v>21</v>
      </c>
      <c r="C14" s="332">
        <f t="shared" si="0"/>
        <v>21</v>
      </c>
      <c r="D14" s="332">
        <f t="shared" si="0"/>
        <v>21</v>
      </c>
      <c r="E14" s="332">
        <f t="shared" si="0"/>
        <v>21</v>
      </c>
      <c r="F14" s="332">
        <f t="shared" si="0"/>
        <v>21</v>
      </c>
      <c r="G14" s="332">
        <f t="shared" si="0"/>
        <v>21</v>
      </c>
      <c r="H14" s="332">
        <f t="shared" si="0"/>
        <v>21</v>
      </c>
      <c r="I14" s="332">
        <f t="shared" si="0"/>
        <v>21</v>
      </c>
      <c r="J14" s="332">
        <f t="shared" si="0"/>
        <v>21</v>
      </c>
      <c r="K14" s="332">
        <f t="shared" si="0"/>
        <v>21</v>
      </c>
      <c r="L14" s="332">
        <f t="shared" si="0"/>
        <v>21</v>
      </c>
      <c r="M14" s="332">
        <f t="shared" si="0"/>
        <v>21</v>
      </c>
      <c r="N14" s="332">
        <f t="shared" si="0"/>
        <v>21</v>
      </c>
      <c r="O14" s="389">
        <f t="shared" si="0"/>
        <v>21</v>
      </c>
      <c r="P14" s="15"/>
      <c r="Q14" s="20"/>
      <c r="R14" s="20"/>
      <c r="S14" s="20"/>
      <c r="T14" s="20"/>
      <c r="U14" s="20"/>
      <c r="V14" s="23"/>
      <c r="W14" s="19"/>
      <c r="X14" s="19"/>
      <c r="Y14" s="19"/>
      <c r="Z14" s="19"/>
      <c r="AA14" s="19"/>
      <c r="AB14" s="19"/>
      <c r="AC14" s="31"/>
    </row>
    <row r="15" spans="1:29">
      <c r="A15" s="417" t="s">
        <v>632</v>
      </c>
      <c r="B15" s="332">
        <f>NETWORKDAYS(EOMONTH($A$6,-1)+1,EOMONTH($A$6,0))</f>
        <v>21</v>
      </c>
      <c r="C15" s="332">
        <f t="shared" ref="C15:O15" si="1">NETWORKDAYS(EOMONTH($A$6,-1)+1,EOMONTH($A$6,0))</f>
        <v>21</v>
      </c>
      <c r="D15" s="332">
        <f t="shared" si="1"/>
        <v>21</v>
      </c>
      <c r="E15" s="332">
        <f t="shared" si="1"/>
        <v>21</v>
      </c>
      <c r="F15" s="332">
        <f t="shared" si="1"/>
        <v>21</v>
      </c>
      <c r="G15" s="332">
        <f t="shared" si="1"/>
        <v>21</v>
      </c>
      <c r="H15" s="332">
        <f t="shared" si="1"/>
        <v>21</v>
      </c>
      <c r="I15" s="332">
        <f t="shared" si="1"/>
        <v>21</v>
      </c>
      <c r="J15" s="332">
        <f t="shared" si="1"/>
        <v>21</v>
      </c>
      <c r="K15" s="332">
        <f t="shared" si="1"/>
        <v>21</v>
      </c>
      <c r="L15" s="332">
        <f t="shared" si="1"/>
        <v>21</v>
      </c>
      <c r="M15" s="332">
        <f t="shared" si="1"/>
        <v>21</v>
      </c>
      <c r="N15" s="332">
        <f t="shared" si="1"/>
        <v>21</v>
      </c>
      <c r="O15" s="389">
        <f t="shared" si="1"/>
        <v>21</v>
      </c>
      <c r="P15" s="15"/>
      <c r="Q15" s="20"/>
      <c r="R15" s="20"/>
      <c r="S15" s="20"/>
      <c r="T15" s="20"/>
      <c r="U15" s="20"/>
      <c r="V15" s="23"/>
      <c r="W15" s="19"/>
      <c r="X15" s="19"/>
      <c r="Y15" s="19"/>
      <c r="Z15" s="19"/>
      <c r="AA15" s="19"/>
      <c r="AB15" s="19"/>
      <c r="AC15" s="31"/>
    </row>
    <row r="16" spans="1:29">
      <c r="A16" s="98" t="s">
        <v>511</v>
      </c>
      <c r="B16" s="390">
        <f t="shared" ref="B16:O16" si="2">_xlfn.DAYS($A$6,B10)+1</f>
        <v>31</v>
      </c>
      <c r="C16" s="329">
        <f t="shared" si="2"/>
        <v>31</v>
      </c>
      <c r="D16" s="329">
        <f t="shared" si="2"/>
        <v>31</v>
      </c>
      <c r="E16" s="329">
        <f t="shared" si="2"/>
        <v>31</v>
      </c>
      <c r="F16" s="329">
        <f t="shared" si="2"/>
        <v>31</v>
      </c>
      <c r="G16" s="329">
        <f t="shared" si="2"/>
        <v>31</v>
      </c>
      <c r="H16" s="329">
        <f t="shared" si="2"/>
        <v>31</v>
      </c>
      <c r="I16" s="329">
        <f t="shared" si="2"/>
        <v>31</v>
      </c>
      <c r="J16" s="329">
        <f t="shared" si="2"/>
        <v>31</v>
      </c>
      <c r="K16" s="329">
        <f t="shared" si="2"/>
        <v>31</v>
      </c>
      <c r="L16" s="329">
        <f t="shared" si="2"/>
        <v>31</v>
      </c>
      <c r="M16" s="329">
        <f t="shared" si="2"/>
        <v>31</v>
      </c>
      <c r="N16" s="329">
        <f t="shared" si="2"/>
        <v>31</v>
      </c>
      <c r="O16" s="391">
        <f t="shared" si="2"/>
        <v>31</v>
      </c>
      <c r="P16" s="15"/>
      <c r="Q16" s="20"/>
      <c r="R16" s="20"/>
      <c r="S16" s="20"/>
      <c r="T16" s="20"/>
      <c r="U16" s="20"/>
      <c r="V16" s="23"/>
      <c r="W16" s="19"/>
      <c r="X16" s="19"/>
      <c r="Y16" s="19"/>
      <c r="Z16" s="19"/>
      <c r="AA16" s="19"/>
      <c r="AB16" s="19"/>
      <c r="AC16" s="31"/>
    </row>
    <row r="17" spans="1:29">
      <c r="A17" s="98" t="s">
        <v>531</v>
      </c>
      <c r="B17" s="330">
        <f>DATEDIF('New Hire'!C41,$A$6,"Y")</f>
        <v>9</v>
      </c>
      <c r="C17" s="331">
        <f>DATEDIF('New Hire'!D41,$A$6,"Y")</f>
        <v>13</v>
      </c>
      <c r="D17" s="331">
        <f>DATEDIF('New Hire'!E41,$A$6,"Y")</f>
        <v>0</v>
      </c>
      <c r="E17" s="331">
        <f>DATEDIF('New Hire'!F41,$A$6,"Y")</f>
        <v>3</v>
      </c>
      <c r="F17" s="331">
        <f>DATEDIF('New Hire'!G41,$A$6,"Y")</f>
        <v>9</v>
      </c>
      <c r="G17" s="331">
        <f>DATEDIF('New Hire'!H41,$A$6,"Y")</f>
        <v>0</v>
      </c>
      <c r="H17" s="331">
        <f>DATEDIF('New Hire'!I41,$A$6,"Y")</f>
        <v>14</v>
      </c>
      <c r="I17" s="331">
        <f>DATEDIF('New Hire'!J41,$A$6,"Y")</f>
        <v>0</v>
      </c>
      <c r="J17" s="331">
        <f>DATEDIF('New Hire'!K41,$A$6,"Y")</f>
        <v>0</v>
      </c>
      <c r="K17" s="331">
        <f>DATEDIF('New Hire'!L41,$A$6,"Y")</f>
        <v>9</v>
      </c>
      <c r="L17" s="331">
        <f>DATEDIF('New Hire'!M41,$A$6,"Y")</f>
        <v>4</v>
      </c>
      <c r="M17" s="331">
        <f>DATEDIF('New Hire'!N41,$A$6,"Y")</f>
        <v>0</v>
      </c>
      <c r="N17" s="331">
        <f>DATEDIF('New Hire'!O41,$A$6,"Y")</f>
        <v>11</v>
      </c>
      <c r="O17" s="387">
        <f>DATEDIF('New Hire'!P41,$A$6,"Y")</f>
        <v>0</v>
      </c>
      <c r="P17" s="15"/>
      <c r="Q17" s="20"/>
      <c r="R17" s="20"/>
      <c r="S17" s="20"/>
      <c r="T17" s="20"/>
      <c r="U17" s="20"/>
      <c r="V17" s="23"/>
      <c r="W17" s="19"/>
      <c r="X17" s="19"/>
      <c r="Y17" s="19"/>
      <c r="Z17" s="19"/>
      <c r="AA17" s="19"/>
      <c r="AB17" s="19"/>
      <c r="AC17" s="31"/>
    </row>
    <row r="18" spans="1:29">
      <c r="A18" s="98" t="s">
        <v>563</v>
      </c>
      <c r="B18" s="330" t="str">
        <f>'New Hire'!C52</f>
        <v>A</v>
      </c>
      <c r="C18" s="331" t="str">
        <f>'New Hire'!D52</f>
        <v>A</v>
      </c>
      <c r="D18" s="331" t="str">
        <f>'New Hire'!E52</f>
        <v>A</v>
      </c>
      <c r="E18" s="331" t="str">
        <f>'New Hire'!F52</f>
        <v>B</v>
      </c>
      <c r="F18" s="331" t="str">
        <f>'New Hire'!G52</f>
        <v>B</v>
      </c>
      <c r="G18" s="331" t="str">
        <f>'New Hire'!H52</f>
        <v>C</v>
      </c>
      <c r="H18" s="331" t="str">
        <f>'New Hire'!I52</f>
        <v>D</v>
      </c>
      <c r="I18" s="331" t="str">
        <f>'New Hire'!J52</f>
        <v>D</v>
      </c>
      <c r="J18" s="331" t="str">
        <f>'New Hire'!K52</f>
        <v>A</v>
      </c>
      <c r="K18" s="331" t="str">
        <f>'New Hire'!L52</f>
        <v>A</v>
      </c>
      <c r="L18" s="331" t="str">
        <f>'New Hire'!M52</f>
        <v>A</v>
      </c>
      <c r="M18" s="331" t="str">
        <f>'New Hire'!N52</f>
        <v>A</v>
      </c>
      <c r="N18" s="331" t="str">
        <f>'New Hire'!O52</f>
        <v>A</v>
      </c>
      <c r="O18" s="387" t="str">
        <f>'New Hire'!P52</f>
        <v>B</v>
      </c>
      <c r="P18" s="15"/>
      <c r="Q18" s="20"/>
      <c r="R18" s="20"/>
      <c r="S18" s="20"/>
      <c r="T18" s="20"/>
      <c r="U18" s="20"/>
      <c r="V18" s="23"/>
      <c r="W18" s="19"/>
      <c r="X18" s="19"/>
      <c r="Y18" s="19"/>
      <c r="Z18" s="19"/>
      <c r="AA18" s="19"/>
      <c r="AB18" s="19"/>
      <c r="AC18" s="31"/>
    </row>
    <row r="19" spans="1:29">
      <c r="A19" s="97" t="s">
        <v>107</v>
      </c>
      <c r="B19" s="661">
        <v>1</v>
      </c>
      <c r="C19" s="88">
        <v>2</v>
      </c>
      <c r="D19" s="88">
        <v>1</v>
      </c>
      <c r="E19" s="88">
        <v>3</v>
      </c>
      <c r="F19" s="88">
        <v>0</v>
      </c>
      <c r="G19" s="88">
        <v>0</v>
      </c>
      <c r="H19" s="88">
        <v>2</v>
      </c>
      <c r="I19" s="88">
        <v>0</v>
      </c>
      <c r="J19" s="88">
        <v>0</v>
      </c>
      <c r="K19" s="88">
        <v>0</v>
      </c>
      <c r="L19" s="88">
        <v>0</v>
      </c>
      <c r="M19" s="88">
        <v>0</v>
      </c>
      <c r="N19" s="88">
        <v>0</v>
      </c>
      <c r="O19" s="392">
        <v>0</v>
      </c>
      <c r="P19" s="15"/>
      <c r="Q19" s="20"/>
      <c r="R19" s="20"/>
      <c r="S19" s="20"/>
      <c r="T19" s="20"/>
      <c r="U19" s="20"/>
      <c r="V19" s="23"/>
      <c r="W19" s="19"/>
      <c r="X19" s="19"/>
      <c r="Y19" s="19"/>
      <c r="Z19" s="19"/>
      <c r="AA19" s="19"/>
      <c r="AB19" s="19"/>
      <c r="AC19" s="31"/>
    </row>
    <row r="20" spans="1:29" ht="15.6">
      <c r="A20" s="450" t="s">
        <v>113</v>
      </c>
      <c r="B20" s="89">
        <f>IF(OR(B18="A",B18="C"),3600000*B19,0)</f>
        <v>3600000</v>
      </c>
      <c r="C20" s="89">
        <f t="shared" ref="C20:O20" si="3">IF(OR(C18="A",C18="C"),3600000*C19,0)</f>
        <v>7200000</v>
      </c>
      <c r="D20" s="89">
        <f t="shared" si="3"/>
        <v>3600000</v>
      </c>
      <c r="E20" s="89">
        <f t="shared" si="3"/>
        <v>0</v>
      </c>
      <c r="F20" s="89">
        <f t="shared" si="3"/>
        <v>0</v>
      </c>
      <c r="G20" s="89">
        <f t="shared" si="3"/>
        <v>0</v>
      </c>
      <c r="H20" s="89">
        <f t="shared" si="3"/>
        <v>0</v>
      </c>
      <c r="I20" s="89">
        <f t="shared" si="3"/>
        <v>0</v>
      </c>
      <c r="J20" s="89">
        <f t="shared" si="3"/>
        <v>0</v>
      </c>
      <c r="K20" s="89">
        <f t="shared" si="3"/>
        <v>0</v>
      </c>
      <c r="L20" s="89">
        <f t="shared" si="3"/>
        <v>0</v>
      </c>
      <c r="M20" s="89">
        <f t="shared" si="3"/>
        <v>0</v>
      </c>
      <c r="N20" s="89">
        <f t="shared" si="3"/>
        <v>0</v>
      </c>
      <c r="O20" s="89">
        <f t="shared" si="3"/>
        <v>0</v>
      </c>
      <c r="P20" s="589">
        <f>SUM(B20:O20)</f>
        <v>14400000</v>
      </c>
      <c r="Q20" s="20"/>
      <c r="R20" s="20"/>
      <c r="S20" s="20"/>
      <c r="T20" s="20"/>
      <c r="U20" s="20"/>
      <c r="V20" s="40"/>
      <c r="W20" s="41"/>
      <c r="X20" s="19"/>
      <c r="Y20" s="19"/>
      <c r="Z20" s="19"/>
      <c r="AA20" s="19"/>
      <c r="AB20" s="16"/>
      <c r="AC20" s="17"/>
    </row>
    <row r="21" spans="1:29">
      <c r="A21" s="450" t="s">
        <v>114</v>
      </c>
      <c r="B21" s="89">
        <f>IF(OR(B18="A",B18="C"),9000000,0)</f>
        <v>9000000</v>
      </c>
      <c r="C21" s="89">
        <f t="shared" ref="C21:O21" si="4">IF(OR(C18="A",C18="C"),9000000,0)</f>
        <v>9000000</v>
      </c>
      <c r="D21" s="89">
        <f t="shared" si="4"/>
        <v>9000000</v>
      </c>
      <c r="E21" s="89">
        <f t="shared" si="4"/>
        <v>0</v>
      </c>
      <c r="F21" s="89">
        <f t="shared" si="4"/>
        <v>0</v>
      </c>
      <c r="G21" s="89">
        <f t="shared" si="4"/>
        <v>9000000</v>
      </c>
      <c r="H21" s="89">
        <f t="shared" si="4"/>
        <v>0</v>
      </c>
      <c r="I21" s="89">
        <f t="shared" si="4"/>
        <v>0</v>
      </c>
      <c r="J21" s="89">
        <f t="shared" si="4"/>
        <v>9000000</v>
      </c>
      <c r="K21" s="89">
        <f t="shared" si="4"/>
        <v>9000000</v>
      </c>
      <c r="L21" s="89">
        <f t="shared" si="4"/>
        <v>9000000</v>
      </c>
      <c r="M21" s="89">
        <f t="shared" si="4"/>
        <v>9000000</v>
      </c>
      <c r="N21" s="89">
        <f t="shared" si="4"/>
        <v>9000000</v>
      </c>
      <c r="O21" s="89">
        <f t="shared" si="4"/>
        <v>0</v>
      </c>
      <c r="P21" s="589">
        <f>SUM(B21:O21)</f>
        <v>81000000</v>
      </c>
      <c r="Q21" s="20"/>
      <c r="R21" s="20"/>
      <c r="S21" s="20"/>
      <c r="T21" s="20"/>
      <c r="U21" s="20"/>
      <c r="V21" s="50"/>
      <c r="W21" s="44"/>
      <c r="X21" s="44"/>
      <c r="Y21" s="44"/>
      <c r="Z21" s="44"/>
      <c r="AA21" s="44"/>
      <c r="AB21" s="44"/>
      <c r="AC21" s="51"/>
    </row>
    <row r="22" spans="1:29" ht="15.6">
      <c r="A22" s="406" t="s">
        <v>53</v>
      </c>
      <c r="B22" s="64"/>
      <c r="C22" s="65"/>
      <c r="D22" s="65"/>
      <c r="E22" s="66"/>
      <c r="F22" s="65"/>
      <c r="G22" s="65"/>
      <c r="H22" s="21"/>
      <c r="I22" s="65"/>
      <c r="J22" s="65"/>
      <c r="K22" s="66"/>
      <c r="L22" s="66"/>
      <c r="M22" s="66"/>
      <c r="N22" s="66"/>
      <c r="O22" s="376"/>
      <c r="P22" s="376"/>
      <c r="Q22" s="66"/>
      <c r="R22" s="66"/>
      <c r="S22" s="66"/>
      <c r="T22" s="66"/>
      <c r="U22" s="66"/>
      <c r="V22" s="112" t="s">
        <v>57</v>
      </c>
      <c r="W22" s="113" t="s">
        <v>67</v>
      </c>
      <c r="X22" s="113" t="s">
        <v>69</v>
      </c>
      <c r="Y22" s="113" t="s">
        <v>70</v>
      </c>
      <c r="Z22" s="113" t="s">
        <v>56</v>
      </c>
      <c r="AA22" s="113" t="s">
        <v>54</v>
      </c>
      <c r="AB22" s="113" t="s">
        <v>58</v>
      </c>
      <c r="AC22" s="114" t="s">
        <v>59</v>
      </c>
    </row>
    <row r="23" spans="1:29">
      <c r="A23" s="407" t="s">
        <v>55</v>
      </c>
      <c r="B23" s="64"/>
      <c r="C23" s="65"/>
      <c r="D23" s="65"/>
      <c r="E23" s="66"/>
      <c r="F23" s="65"/>
      <c r="G23" s="65"/>
      <c r="H23" s="21"/>
      <c r="I23" s="65"/>
      <c r="J23" s="65"/>
      <c r="K23" s="66"/>
      <c r="L23" s="66"/>
      <c r="M23" s="66"/>
      <c r="N23" s="66"/>
      <c r="O23" s="376"/>
      <c r="P23" s="376"/>
      <c r="Q23" s="66"/>
      <c r="R23" s="66"/>
      <c r="S23" s="66"/>
      <c r="T23" s="66"/>
      <c r="U23" s="66"/>
      <c r="V23" s="350" t="s">
        <v>2</v>
      </c>
      <c r="W23" s="351">
        <v>91999901</v>
      </c>
      <c r="X23" s="352" t="s">
        <v>505</v>
      </c>
      <c r="Y23" s="352" t="s">
        <v>506</v>
      </c>
      <c r="Z23" s="353" t="s">
        <v>507</v>
      </c>
      <c r="AA23" s="354">
        <v>8000000</v>
      </c>
      <c r="AB23" s="352"/>
      <c r="AC23" s="355"/>
    </row>
    <row r="24" spans="1:29">
      <c r="A24" s="436" t="s">
        <v>477</v>
      </c>
      <c r="B24" s="326">
        <f t="shared" ref="B24:O24" si="5">IF(B11&lt;&gt;"C",ROUND(B142*B13,0),0)</f>
        <v>5000000</v>
      </c>
      <c r="C24" s="326">
        <f t="shared" si="5"/>
        <v>4050000</v>
      </c>
      <c r="D24" s="326">
        <f t="shared" si="5"/>
        <v>7000000</v>
      </c>
      <c r="E24" s="326">
        <f t="shared" si="5"/>
        <v>9000000</v>
      </c>
      <c r="F24" s="326">
        <f t="shared" si="5"/>
        <v>11200000</v>
      </c>
      <c r="G24" s="326">
        <f t="shared" si="5"/>
        <v>0</v>
      </c>
      <c r="H24" s="326">
        <f t="shared" si="5"/>
        <v>51051000</v>
      </c>
      <c r="I24" s="326">
        <f t="shared" si="5"/>
        <v>62653500</v>
      </c>
      <c r="J24" s="326">
        <f t="shared" si="5"/>
        <v>30000000</v>
      </c>
      <c r="K24" s="326">
        <f t="shared" si="5"/>
        <v>8000000</v>
      </c>
      <c r="L24" s="326">
        <f t="shared" si="5"/>
        <v>90000000</v>
      </c>
      <c r="M24" s="326">
        <f t="shared" si="5"/>
        <v>5000000</v>
      </c>
      <c r="N24" s="326">
        <f t="shared" si="5"/>
        <v>6500000</v>
      </c>
      <c r="O24" s="326">
        <f t="shared" si="5"/>
        <v>0</v>
      </c>
      <c r="P24" s="338">
        <f t="shared" ref="P24:P34" si="6">SUM(B24:O24)</f>
        <v>289454500</v>
      </c>
      <c r="Q24" s="89" t="s">
        <v>523</v>
      </c>
      <c r="R24" s="89" t="s">
        <v>523</v>
      </c>
      <c r="S24" s="89" t="s">
        <v>523</v>
      </c>
      <c r="T24" s="89" t="s">
        <v>523</v>
      </c>
      <c r="U24" s="89" t="s">
        <v>523</v>
      </c>
      <c r="V24" s="350" t="s">
        <v>2</v>
      </c>
      <c r="W24" s="351">
        <v>91999902</v>
      </c>
      <c r="X24" s="352" t="s">
        <v>505</v>
      </c>
      <c r="Y24" s="352" t="s">
        <v>506</v>
      </c>
      <c r="Z24" s="353" t="s">
        <v>507</v>
      </c>
      <c r="AA24" s="354">
        <v>8000000</v>
      </c>
      <c r="AB24" s="352"/>
      <c r="AC24" s="355"/>
    </row>
    <row r="25" spans="1:29">
      <c r="A25" s="442" t="s">
        <v>494</v>
      </c>
      <c r="B25" s="326">
        <f t="shared" ref="B25:O25" si="7">ROUND(B129*B92,0)</f>
        <v>500000</v>
      </c>
      <c r="C25" s="326">
        <f t="shared" si="7"/>
        <v>405000</v>
      </c>
      <c r="D25" s="326">
        <f t="shared" si="7"/>
        <v>700000</v>
      </c>
      <c r="E25" s="326">
        <f t="shared" si="7"/>
        <v>0</v>
      </c>
      <c r="F25" s="326">
        <f t="shared" si="7"/>
        <v>0</v>
      </c>
      <c r="G25" s="326">
        <f t="shared" si="7"/>
        <v>0</v>
      </c>
      <c r="H25" s="326">
        <f t="shared" si="7"/>
        <v>5801250</v>
      </c>
      <c r="I25" s="326">
        <f t="shared" si="7"/>
        <v>0</v>
      </c>
      <c r="J25" s="326">
        <f t="shared" si="7"/>
        <v>3000000</v>
      </c>
      <c r="K25" s="326">
        <f t="shared" si="7"/>
        <v>800000</v>
      </c>
      <c r="L25" s="326">
        <f t="shared" si="7"/>
        <v>0</v>
      </c>
      <c r="M25" s="326">
        <f t="shared" si="7"/>
        <v>1000000</v>
      </c>
      <c r="N25" s="326">
        <f t="shared" si="7"/>
        <v>1000000</v>
      </c>
      <c r="O25" s="326">
        <f t="shared" si="7"/>
        <v>0</v>
      </c>
      <c r="P25" s="338">
        <f t="shared" si="6"/>
        <v>13206250</v>
      </c>
      <c r="Q25" s="373" t="s">
        <v>523</v>
      </c>
      <c r="R25" s="373" t="s">
        <v>523</v>
      </c>
      <c r="S25" s="373" t="s">
        <v>523</v>
      </c>
      <c r="T25" s="373" t="s">
        <v>523</v>
      </c>
      <c r="U25" s="89" t="s">
        <v>523</v>
      </c>
      <c r="V25" s="350" t="s">
        <v>2</v>
      </c>
      <c r="W25" s="351">
        <v>91999904</v>
      </c>
      <c r="X25" s="352" t="s">
        <v>509</v>
      </c>
      <c r="Y25" s="352" t="s">
        <v>506</v>
      </c>
      <c r="Z25" s="353" t="s">
        <v>507</v>
      </c>
      <c r="AA25" s="354">
        <v>8000000</v>
      </c>
      <c r="AB25" s="352"/>
      <c r="AC25" s="355"/>
    </row>
    <row r="26" spans="1:29">
      <c r="A26" s="442" t="s">
        <v>566</v>
      </c>
      <c r="B26" s="326">
        <f t="shared" ref="B26:O26" si="8">ROUND(B130*B92,0)</f>
        <v>1000000</v>
      </c>
      <c r="C26" s="326">
        <f t="shared" si="8"/>
        <v>810000</v>
      </c>
      <c r="D26" s="326">
        <f t="shared" si="8"/>
        <v>1400000</v>
      </c>
      <c r="E26" s="326">
        <f t="shared" si="8"/>
        <v>0</v>
      </c>
      <c r="F26" s="326">
        <f t="shared" si="8"/>
        <v>0</v>
      </c>
      <c r="G26" s="326">
        <f t="shared" si="8"/>
        <v>0</v>
      </c>
      <c r="H26" s="326">
        <f t="shared" si="8"/>
        <v>11602500</v>
      </c>
      <c r="I26" s="326">
        <f t="shared" si="8"/>
        <v>0</v>
      </c>
      <c r="J26" s="326">
        <f t="shared" si="8"/>
        <v>6000000</v>
      </c>
      <c r="K26" s="326">
        <f t="shared" si="8"/>
        <v>1600000</v>
      </c>
      <c r="L26" s="326">
        <f t="shared" si="8"/>
        <v>0</v>
      </c>
      <c r="M26" s="326">
        <f t="shared" si="8"/>
        <v>1500000</v>
      </c>
      <c r="N26" s="326">
        <f t="shared" si="8"/>
        <v>1500000</v>
      </c>
      <c r="O26" s="326">
        <f t="shared" si="8"/>
        <v>0</v>
      </c>
      <c r="P26" s="338">
        <f t="shared" si="6"/>
        <v>25412500</v>
      </c>
      <c r="Q26" s="373" t="s">
        <v>523</v>
      </c>
      <c r="R26" s="373" t="s">
        <v>523</v>
      </c>
      <c r="S26" s="373" t="s">
        <v>523</v>
      </c>
      <c r="T26" s="373" t="s">
        <v>523</v>
      </c>
      <c r="U26" s="89" t="s">
        <v>523</v>
      </c>
      <c r="V26" s="350" t="s">
        <v>2</v>
      </c>
      <c r="W26" s="351">
        <v>91999905</v>
      </c>
      <c r="X26" s="352" t="s">
        <v>505</v>
      </c>
      <c r="Y26" s="352" t="s">
        <v>506</v>
      </c>
      <c r="Z26" s="353" t="s">
        <v>507</v>
      </c>
      <c r="AA26" s="354">
        <v>8000000</v>
      </c>
      <c r="AB26" s="352"/>
      <c r="AC26" s="355"/>
    </row>
    <row r="27" spans="1:29">
      <c r="A27" s="405" t="s">
        <v>426</v>
      </c>
      <c r="B27" s="325"/>
      <c r="C27" s="326"/>
      <c r="D27" s="326"/>
      <c r="E27" s="334"/>
      <c r="F27" s="326"/>
      <c r="G27" s="326">
        <f>ROUND(G128*AC77,0)+ROUND(G128*AC78,0)</f>
        <v>23205000</v>
      </c>
      <c r="H27" s="326"/>
      <c r="I27" s="326"/>
      <c r="J27" s="326"/>
      <c r="K27" s="334"/>
      <c r="L27" s="334"/>
      <c r="M27" s="334"/>
      <c r="N27" s="334"/>
      <c r="O27" s="334">
        <f>ROUND(AC79*O128,0)+ROUND(AC80*O128,0)</f>
        <v>4000000</v>
      </c>
      <c r="P27" s="338">
        <f t="shared" si="6"/>
        <v>27205000</v>
      </c>
      <c r="Q27" s="373" t="s">
        <v>523</v>
      </c>
      <c r="R27" s="373" t="s">
        <v>523</v>
      </c>
      <c r="S27" s="373"/>
      <c r="T27" s="373"/>
      <c r="U27" s="373"/>
      <c r="V27" s="350" t="s">
        <v>2</v>
      </c>
      <c r="W27" s="351">
        <v>91999906</v>
      </c>
      <c r="X27" s="352" t="s">
        <v>505</v>
      </c>
      <c r="Y27" s="352" t="s">
        <v>506</v>
      </c>
      <c r="Z27" s="353" t="s">
        <v>507</v>
      </c>
      <c r="AA27" s="354">
        <v>8000000</v>
      </c>
      <c r="AB27" s="352"/>
      <c r="AC27" s="355"/>
    </row>
    <row r="28" spans="1:29">
      <c r="A28" s="405" t="s">
        <v>582</v>
      </c>
      <c r="B28" s="325"/>
      <c r="C28" s="326"/>
      <c r="D28" s="326"/>
      <c r="E28" s="326">
        <f>AA44</f>
        <v>80000000</v>
      </c>
      <c r="F28" s="326"/>
      <c r="G28" s="326">
        <f>AA45*B4</f>
        <v>162435000</v>
      </c>
      <c r="H28" s="326"/>
      <c r="I28" s="326"/>
      <c r="J28" s="326"/>
      <c r="K28" s="326"/>
      <c r="L28" s="326"/>
      <c r="M28" s="326"/>
      <c r="N28" s="326"/>
      <c r="O28" s="326"/>
      <c r="P28" s="338">
        <f t="shared" si="6"/>
        <v>242435000</v>
      </c>
      <c r="Q28" s="373" t="s">
        <v>523</v>
      </c>
      <c r="R28" s="373" t="s">
        <v>523</v>
      </c>
      <c r="S28" s="373"/>
      <c r="T28" s="373"/>
      <c r="U28" s="374"/>
      <c r="V28" s="350" t="s">
        <v>2</v>
      </c>
      <c r="W28" s="351">
        <v>91999907</v>
      </c>
      <c r="X28" s="352" t="s">
        <v>505</v>
      </c>
      <c r="Y28" s="352" t="s">
        <v>506</v>
      </c>
      <c r="Z28" s="353" t="s">
        <v>535</v>
      </c>
      <c r="AA28" s="354">
        <v>7000000</v>
      </c>
      <c r="AB28" s="352"/>
      <c r="AC28" s="355"/>
    </row>
    <row r="29" spans="1:29">
      <c r="A29" s="408" t="s">
        <v>608</v>
      </c>
      <c r="B29" s="325"/>
      <c r="C29" s="326"/>
      <c r="D29" s="326"/>
      <c r="E29" s="326"/>
      <c r="F29" s="326"/>
      <c r="G29" s="326"/>
      <c r="H29" s="326"/>
      <c r="I29" s="326">
        <f>AA46*B4</f>
        <v>3480750</v>
      </c>
      <c r="J29" s="326"/>
      <c r="K29" s="334"/>
      <c r="L29" s="334"/>
      <c r="M29" s="334"/>
      <c r="N29" s="334"/>
      <c r="O29" s="334"/>
      <c r="P29" s="338">
        <f t="shared" si="6"/>
        <v>3480750</v>
      </c>
      <c r="Q29" s="373" t="s">
        <v>523</v>
      </c>
      <c r="R29" s="373" t="s">
        <v>523</v>
      </c>
      <c r="S29" s="374"/>
      <c r="T29" s="374"/>
      <c r="U29" s="374"/>
      <c r="V29" s="350" t="s">
        <v>2</v>
      </c>
      <c r="W29" s="351">
        <v>91999907</v>
      </c>
      <c r="X29" s="352" t="s">
        <v>596</v>
      </c>
      <c r="Y29" s="352" t="s">
        <v>506</v>
      </c>
      <c r="Z29" s="353">
        <v>7065</v>
      </c>
      <c r="AA29" s="354">
        <v>100</v>
      </c>
      <c r="AB29" s="438" t="s">
        <v>539</v>
      </c>
      <c r="AC29" s="439"/>
    </row>
    <row r="30" spans="1:29">
      <c r="A30" s="408" t="s">
        <v>609</v>
      </c>
      <c r="B30" s="325"/>
      <c r="C30" s="326"/>
      <c r="D30" s="326"/>
      <c r="E30" s="334"/>
      <c r="F30" s="326"/>
      <c r="G30" s="326"/>
      <c r="H30" s="326"/>
      <c r="I30" s="326">
        <f>AA47*B4</f>
        <v>6961500</v>
      </c>
      <c r="J30" s="326"/>
      <c r="K30" s="326"/>
      <c r="L30" s="334"/>
      <c r="M30" s="334"/>
      <c r="N30" s="334"/>
      <c r="O30" s="334"/>
      <c r="P30" s="338">
        <f t="shared" si="6"/>
        <v>6961500</v>
      </c>
      <c r="Q30" s="373" t="s">
        <v>523</v>
      </c>
      <c r="R30" s="373" t="s">
        <v>523</v>
      </c>
      <c r="S30" s="374"/>
      <c r="T30" s="374"/>
      <c r="U30" s="374"/>
      <c r="V30" s="350" t="s">
        <v>2</v>
      </c>
      <c r="W30" s="351">
        <v>91999908</v>
      </c>
      <c r="X30" s="352" t="s">
        <v>505</v>
      </c>
      <c r="Y30" s="352" t="s">
        <v>506</v>
      </c>
      <c r="Z30" s="353">
        <v>7065</v>
      </c>
      <c r="AA30" s="354">
        <v>100</v>
      </c>
      <c r="AB30" s="438" t="s">
        <v>539</v>
      </c>
      <c r="AC30" s="439"/>
    </row>
    <row r="31" spans="1:29">
      <c r="A31" s="408" t="s">
        <v>583</v>
      </c>
      <c r="B31" s="325">
        <f>AA48</f>
        <v>10000000</v>
      </c>
      <c r="C31" s="326"/>
      <c r="D31" s="326"/>
      <c r="E31" s="334"/>
      <c r="F31" s="326"/>
      <c r="G31" s="326"/>
      <c r="H31" s="326">
        <f>AA49*B4</f>
        <v>23205000</v>
      </c>
      <c r="I31" s="326"/>
      <c r="J31" s="326"/>
      <c r="K31" s="334"/>
      <c r="L31" s="334"/>
      <c r="M31" s="334"/>
      <c r="N31" s="334"/>
      <c r="O31" s="395"/>
      <c r="P31" s="349">
        <f t="shared" si="6"/>
        <v>33205000</v>
      </c>
      <c r="Q31" s="373" t="s">
        <v>523</v>
      </c>
      <c r="R31" s="373" t="s">
        <v>523</v>
      </c>
      <c r="S31" s="374"/>
      <c r="T31" s="374"/>
      <c r="U31" s="374"/>
      <c r="V31" s="350" t="s">
        <v>2</v>
      </c>
      <c r="W31" s="351">
        <v>91999907</v>
      </c>
      <c r="X31" s="352" t="s">
        <v>596</v>
      </c>
      <c r="Y31" s="352" t="s">
        <v>506</v>
      </c>
      <c r="Z31" s="353">
        <v>7070</v>
      </c>
      <c r="AA31" s="354">
        <v>200</v>
      </c>
      <c r="AB31" s="438" t="s">
        <v>539</v>
      </c>
      <c r="AC31" s="439"/>
    </row>
    <row r="32" spans="1:29">
      <c r="A32" s="405" t="s">
        <v>584</v>
      </c>
      <c r="B32" s="325"/>
      <c r="C32" s="326">
        <f>AA50</f>
        <v>10000000</v>
      </c>
      <c r="D32" s="326"/>
      <c r="E32" s="326"/>
      <c r="F32" s="326"/>
      <c r="G32" s="326"/>
      <c r="H32" s="326">
        <f>AA51*B4</f>
        <v>11602500</v>
      </c>
      <c r="I32" s="326"/>
      <c r="J32" s="326"/>
      <c r="K32" s="326"/>
      <c r="L32" s="326"/>
      <c r="M32" s="326"/>
      <c r="N32" s="326"/>
      <c r="O32" s="394"/>
      <c r="P32" s="349">
        <f t="shared" si="6"/>
        <v>21602500</v>
      </c>
      <c r="Q32" s="373" t="s">
        <v>523</v>
      </c>
      <c r="R32" s="373" t="s">
        <v>523</v>
      </c>
      <c r="S32" s="373"/>
      <c r="T32" s="373"/>
      <c r="U32" s="374"/>
      <c r="V32" s="350" t="s">
        <v>2</v>
      </c>
      <c r="W32" s="351">
        <v>91999908</v>
      </c>
      <c r="X32" s="352" t="s">
        <v>505</v>
      </c>
      <c r="Y32" s="352" t="s">
        <v>506</v>
      </c>
      <c r="Z32" s="353">
        <v>7070</v>
      </c>
      <c r="AA32" s="354">
        <v>200</v>
      </c>
      <c r="AB32" s="438" t="s">
        <v>539</v>
      </c>
      <c r="AC32" s="439"/>
    </row>
    <row r="33" spans="1:29">
      <c r="A33" s="405" t="s">
        <v>604</v>
      </c>
      <c r="B33" s="325"/>
      <c r="C33" s="326"/>
      <c r="D33" s="326"/>
      <c r="E33" s="326"/>
      <c r="F33" s="326"/>
      <c r="G33" s="326"/>
      <c r="H33" s="326"/>
      <c r="I33" s="326">
        <f>AA52*B4</f>
        <v>116025000</v>
      </c>
      <c r="J33" s="326"/>
      <c r="K33" s="326"/>
      <c r="L33" s="326"/>
      <c r="M33" s="326"/>
      <c r="N33" s="326"/>
      <c r="O33" s="394"/>
      <c r="P33" s="349">
        <f t="shared" si="6"/>
        <v>116025000</v>
      </c>
      <c r="Q33" s="373" t="s">
        <v>523</v>
      </c>
      <c r="R33" s="373" t="s">
        <v>523</v>
      </c>
      <c r="S33" s="373"/>
      <c r="T33" s="373"/>
      <c r="U33" s="374"/>
      <c r="V33" s="350" t="s">
        <v>2</v>
      </c>
      <c r="W33" s="351">
        <v>91999901</v>
      </c>
      <c r="X33" s="352" t="s">
        <v>505</v>
      </c>
      <c r="Y33" s="352" t="s">
        <v>506</v>
      </c>
      <c r="Z33" s="353">
        <v>9140</v>
      </c>
      <c r="AA33" s="354"/>
      <c r="AB33" s="438">
        <v>0.76</v>
      </c>
      <c r="AC33" s="439"/>
    </row>
    <row r="34" spans="1:29">
      <c r="A34" s="405" t="s">
        <v>1259</v>
      </c>
      <c r="B34" s="325"/>
      <c r="C34" s="326"/>
      <c r="D34" s="326">
        <f>AA71</f>
        <v>3000000</v>
      </c>
      <c r="E34" s="326"/>
      <c r="F34" s="326"/>
      <c r="G34" s="326"/>
      <c r="H34" s="326">
        <f>AA72*B4</f>
        <v>8121750</v>
      </c>
      <c r="I34" s="326"/>
      <c r="J34" s="326"/>
      <c r="K34" s="326"/>
      <c r="L34" s="326"/>
      <c r="M34" s="326"/>
      <c r="N34" s="326"/>
      <c r="O34" s="394"/>
      <c r="P34" s="349">
        <f t="shared" si="6"/>
        <v>11121750</v>
      </c>
      <c r="Q34" s="373" t="s">
        <v>523</v>
      </c>
      <c r="R34" s="373" t="s">
        <v>523</v>
      </c>
      <c r="S34" s="89"/>
      <c r="T34" s="89"/>
      <c r="U34" s="89"/>
      <c r="V34" s="350" t="s">
        <v>2</v>
      </c>
      <c r="W34" s="351">
        <v>91999907</v>
      </c>
      <c r="X34" s="352" t="s">
        <v>505</v>
      </c>
      <c r="Y34" s="352" t="s">
        <v>506</v>
      </c>
      <c r="Z34" s="353">
        <v>9140</v>
      </c>
      <c r="AA34" s="354"/>
      <c r="AB34" s="438">
        <v>0.56000000000000005</v>
      </c>
      <c r="AC34" s="439"/>
    </row>
    <row r="35" spans="1:29">
      <c r="A35" s="405"/>
      <c r="B35" s="325"/>
      <c r="C35" s="326"/>
      <c r="D35" s="326"/>
      <c r="E35" s="326"/>
      <c r="F35" s="326"/>
      <c r="G35" s="326"/>
      <c r="H35" s="326"/>
      <c r="I35" s="326"/>
      <c r="J35" s="326"/>
      <c r="K35" s="326"/>
      <c r="L35" s="326"/>
      <c r="M35" s="326"/>
      <c r="N35" s="326"/>
      <c r="O35" s="394"/>
      <c r="P35" s="349"/>
      <c r="Q35" s="89"/>
      <c r="R35" s="89"/>
      <c r="S35" s="89"/>
      <c r="T35" s="89"/>
      <c r="U35" s="89"/>
      <c r="V35" s="350" t="s">
        <v>747</v>
      </c>
      <c r="W35" s="351">
        <v>91999905</v>
      </c>
      <c r="X35" s="352" t="s">
        <v>748</v>
      </c>
      <c r="Y35" s="352" t="s">
        <v>506</v>
      </c>
      <c r="Z35" s="353" t="s">
        <v>749</v>
      </c>
      <c r="AA35" s="354"/>
      <c r="AB35" s="438">
        <v>1</v>
      </c>
      <c r="AC35" s="439"/>
    </row>
    <row r="36" spans="1:29">
      <c r="A36" s="409" t="s">
        <v>579</v>
      </c>
      <c r="B36" s="325"/>
      <c r="C36" s="326"/>
      <c r="D36" s="326"/>
      <c r="E36" s="334"/>
      <c r="F36" s="326"/>
      <c r="G36" s="326"/>
      <c r="H36" s="326"/>
      <c r="I36" s="326"/>
      <c r="J36" s="326"/>
      <c r="K36" s="334"/>
      <c r="L36" s="334"/>
      <c r="M36" s="334"/>
      <c r="N36" s="334"/>
      <c r="O36" s="395"/>
      <c r="P36" s="349"/>
      <c r="Q36" s="374"/>
      <c r="R36" s="374"/>
      <c r="S36" s="374"/>
      <c r="T36" s="374"/>
      <c r="U36" s="374"/>
      <c r="V36" s="350" t="s">
        <v>2</v>
      </c>
      <c r="W36" s="351">
        <v>91999908</v>
      </c>
      <c r="X36" s="438" t="s">
        <v>596</v>
      </c>
      <c r="Y36" s="352" t="s">
        <v>847</v>
      </c>
      <c r="Z36" s="353">
        <v>3601</v>
      </c>
      <c r="AA36" s="354">
        <v>150</v>
      </c>
      <c r="AB36" s="438" t="s">
        <v>597</v>
      </c>
      <c r="AC36" s="439"/>
    </row>
    <row r="37" spans="1:29">
      <c r="A37" s="408" t="s">
        <v>703</v>
      </c>
      <c r="B37" s="325"/>
      <c r="C37" s="326"/>
      <c r="D37" s="326">
        <f>AA57</f>
        <v>10000000</v>
      </c>
      <c r="E37" s="334"/>
      <c r="F37" s="326"/>
      <c r="G37" s="326"/>
      <c r="H37" s="326"/>
      <c r="I37" s="326">
        <f>AA58*B4</f>
        <v>232050000</v>
      </c>
      <c r="J37" s="326"/>
      <c r="K37" s="334"/>
      <c r="L37" s="334"/>
      <c r="M37" s="334"/>
      <c r="N37" s="334"/>
      <c r="O37" s="395"/>
      <c r="P37" s="349">
        <f>SUM(B37:O37)</f>
        <v>242050000</v>
      </c>
      <c r="Q37" s="373" t="s">
        <v>591</v>
      </c>
      <c r="R37" s="373"/>
      <c r="S37" s="373"/>
      <c r="T37" s="373"/>
      <c r="U37" s="373"/>
      <c r="V37" s="350" t="s">
        <v>2</v>
      </c>
      <c r="W37" s="351">
        <v>91999910</v>
      </c>
      <c r="X37" s="438" t="s">
        <v>505</v>
      </c>
      <c r="Y37" s="352" t="s">
        <v>847</v>
      </c>
      <c r="Z37" s="353">
        <v>3601</v>
      </c>
      <c r="AA37" s="354">
        <v>4000000</v>
      </c>
      <c r="AB37" s="438"/>
      <c r="AC37" s="439"/>
    </row>
    <row r="38" spans="1:29">
      <c r="A38" s="405" t="s">
        <v>585</v>
      </c>
      <c r="B38" s="325"/>
      <c r="C38" s="326"/>
      <c r="D38" s="326"/>
      <c r="E38" s="326"/>
      <c r="F38" s="326"/>
      <c r="G38" s="326"/>
      <c r="H38" s="326">
        <f>AA53*B4</f>
        <v>4641000</v>
      </c>
      <c r="I38" s="326"/>
      <c r="J38" s="326">
        <f>AA54</f>
        <v>6000000</v>
      </c>
      <c r="K38" s="326"/>
      <c r="L38" s="326"/>
      <c r="M38" s="326"/>
      <c r="N38" s="326"/>
      <c r="O38" s="394"/>
      <c r="P38" s="349">
        <f>SUM(B38:O38)</f>
        <v>10641000</v>
      </c>
      <c r="Q38" s="373" t="s">
        <v>523</v>
      </c>
      <c r="R38" s="373"/>
      <c r="S38" s="89"/>
      <c r="T38" s="89"/>
      <c r="U38" s="89"/>
      <c r="V38" s="32"/>
      <c r="W38" s="44"/>
      <c r="X38" s="13"/>
      <c r="Y38" s="13"/>
      <c r="Z38" s="13"/>
      <c r="AA38" s="13"/>
      <c r="AB38" s="13"/>
      <c r="AC38" s="18"/>
    </row>
    <row r="39" spans="1:29">
      <c r="A39" s="405" t="s">
        <v>614</v>
      </c>
      <c r="B39" s="325"/>
      <c r="C39" s="326"/>
      <c r="D39" s="326"/>
      <c r="E39" s="326">
        <f>AA55</f>
        <v>-5000000</v>
      </c>
      <c r="F39" s="326">
        <f>AA56</f>
        <v>5000000</v>
      </c>
      <c r="G39" s="326"/>
      <c r="H39" s="326"/>
      <c r="I39" s="326"/>
      <c r="J39" s="326"/>
      <c r="K39" s="326"/>
      <c r="L39" s="326"/>
      <c r="M39" s="326"/>
      <c r="N39" s="326"/>
      <c r="O39" s="394"/>
      <c r="P39" s="349">
        <f>SUM(B39:O39)</f>
        <v>0</v>
      </c>
      <c r="Q39" s="373" t="s">
        <v>1293</v>
      </c>
      <c r="R39" s="373"/>
      <c r="S39" s="89"/>
      <c r="T39" s="89"/>
      <c r="U39" s="89"/>
      <c r="V39" s="32"/>
      <c r="W39" s="44"/>
      <c r="X39" s="13"/>
      <c r="Y39" s="13"/>
      <c r="Z39" s="13"/>
      <c r="AA39" s="13"/>
      <c r="AB39" s="13"/>
      <c r="AC39" s="18"/>
    </row>
    <row r="40" spans="1:29">
      <c r="A40" s="405"/>
      <c r="B40" s="325"/>
      <c r="C40" s="326"/>
      <c r="D40" s="326"/>
      <c r="E40" s="334"/>
      <c r="F40" s="326"/>
      <c r="G40" s="326"/>
      <c r="H40" s="326"/>
      <c r="I40" s="326"/>
      <c r="J40" s="326"/>
      <c r="K40" s="334"/>
      <c r="L40" s="334"/>
      <c r="M40" s="334"/>
      <c r="N40" s="334"/>
      <c r="O40" s="395"/>
      <c r="P40" s="349"/>
      <c r="Q40" s="373"/>
      <c r="R40" s="373"/>
      <c r="S40" s="373"/>
      <c r="T40" s="373"/>
      <c r="U40" s="373"/>
      <c r="V40" s="32"/>
      <c r="W40" s="44"/>
      <c r="X40" s="13"/>
      <c r="Y40" s="13"/>
      <c r="Z40" s="13"/>
      <c r="AA40" s="13"/>
      <c r="AB40" s="13"/>
      <c r="AC40" s="18"/>
    </row>
    <row r="41" spans="1:29">
      <c r="A41" s="409" t="s">
        <v>569</v>
      </c>
      <c r="B41" s="325"/>
      <c r="C41" s="326"/>
      <c r="D41" s="326"/>
      <c r="E41" s="334"/>
      <c r="F41" s="326"/>
      <c r="G41" s="326"/>
      <c r="H41" s="326"/>
      <c r="I41" s="326"/>
      <c r="J41" s="326"/>
      <c r="K41" s="334"/>
      <c r="L41" s="334"/>
      <c r="M41" s="334"/>
      <c r="N41" s="334"/>
      <c r="O41" s="395"/>
      <c r="P41" s="338"/>
      <c r="Q41" s="374"/>
      <c r="R41" s="373"/>
      <c r="S41" s="374"/>
      <c r="T41" s="374"/>
      <c r="U41" s="374"/>
      <c r="V41" s="32"/>
      <c r="W41" s="44"/>
      <c r="X41" s="13"/>
      <c r="Y41" s="13"/>
      <c r="Z41" s="13"/>
      <c r="AA41" s="13"/>
      <c r="AB41" s="13"/>
      <c r="AC41" s="18"/>
    </row>
    <row r="42" spans="1:29">
      <c r="A42" s="436" t="s">
        <v>532</v>
      </c>
      <c r="B42" s="326">
        <f>IF(OR(B18="A",B18="B"),ROUND(ROUND(2369796*B19*B16*IF(B17&lt;3,0,IF(B17&lt;6,50%,100%)),0)*B13/365,0),ROUND(ROUND(2466.55*$B$4,0)*B16*B13/365,0))</f>
        <v>201270</v>
      </c>
      <c r="C42" s="326">
        <f>IF(OR(C18="A",C18="B"),ROUND(ROUND(2369796*C19*C16*IF(C17&lt;3,0,IF(C17&lt;6,50%,100%)),0)*C13/365,0),ROUND(ROUND(2466.55*$B$4,0)*C16*C13/365,0))</f>
        <v>362287</v>
      </c>
      <c r="D42" s="326"/>
      <c r="E42" s="326">
        <f>IF(OR(E18="A",E18="B"),ROUND(ROUND(2369796*E19*E16*IF(E17&lt;3,0,IF(E17&lt;6,50%,100%)),0)*E13/365,0),ROUND(ROUND(2466.55*$B$4,0)*E16*E13/365,0))</f>
        <v>301906</v>
      </c>
      <c r="F42" s="326"/>
      <c r="G42" s="326"/>
      <c r="H42" s="354">
        <f>(ROUND(2466.55*$B$4/365*H16,0)+ROUND(863.29*$B$4/365*H16,0))*H13</f>
        <v>3281284</v>
      </c>
      <c r="I42" s="326"/>
      <c r="J42" s="326"/>
      <c r="K42" s="326"/>
      <c r="L42" s="326"/>
      <c r="M42" s="326"/>
      <c r="N42" s="326"/>
      <c r="O42" s="394"/>
      <c r="P42" s="339">
        <f>SUM(B42:O42)</f>
        <v>4146747</v>
      </c>
      <c r="Q42" s="373"/>
      <c r="R42" s="373" t="s">
        <v>605</v>
      </c>
      <c r="S42" s="373"/>
      <c r="T42" s="373"/>
      <c r="U42" s="373"/>
      <c r="V42" s="42"/>
      <c r="W42" s="43"/>
      <c r="X42" s="760" t="s">
        <v>90</v>
      </c>
      <c r="Y42" s="760"/>
      <c r="Z42" s="760"/>
      <c r="AA42" s="760"/>
      <c r="AB42" s="13"/>
      <c r="AC42" s="18"/>
    </row>
    <row r="43" spans="1:29">
      <c r="O43" s="588"/>
      <c r="P43" s="560"/>
      <c r="V43" s="24" t="s">
        <v>57</v>
      </c>
      <c r="W43" s="37" t="s">
        <v>67</v>
      </c>
      <c r="X43" s="37" t="s">
        <v>69</v>
      </c>
      <c r="Y43" s="37" t="s">
        <v>70</v>
      </c>
      <c r="Z43" s="37" t="s">
        <v>56</v>
      </c>
      <c r="AA43" s="37" t="s">
        <v>71</v>
      </c>
      <c r="AB43" s="37" t="s">
        <v>58</v>
      </c>
      <c r="AC43" s="38" t="s">
        <v>59</v>
      </c>
    </row>
    <row r="44" spans="1:29">
      <c r="A44" s="441" t="s">
        <v>61</v>
      </c>
      <c r="B44" s="359">
        <f t="shared" ref="B44:O44" si="9">SUM(B24:B39)</f>
        <v>16500000</v>
      </c>
      <c r="C44" s="659">
        <f t="shared" si="9"/>
        <v>15265000</v>
      </c>
      <c r="D44" s="659">
        <f t="shared" si="9"/>
        <v>22100000</v>
      </c>
      <c r="E44" s="659">
        <f t="shared" si="9"/>
        <v>84000000</v>
      </c>
      <c r="F44" s="659">
        <f t="shared" si="9"/>
        <v>16200000</v>
      </c>
      <c r="G44" s="659">
        <f t="shared" si="9"/>
        <v>185640000</v>
      </c>
      <c r="H44" s="659">
        <f t="shared" si="9"/>
        <v>116025000</v>
      </c>
      <c r="I44" s="659">
        <f t="shared" si="9"/>
        <v>421170750</v>
      </c>
      <c r="J44" s="659">
        <f t="shared" si="9"/>
        <v>45000000</v>
      </c>
      <c r="K44" s="659">
        <f t="shared" si="9"/>
        <v>10400000</v>
      </c>
      <c r="L44" s="659">
        <f t="shared" si="9"/>
        <v>90000000</v>
      </c>
      <c r="M44" s="659">
        <f t="shared" si="9"/>
        <v>7500000</v>
      </c>
      <c r="N44" s="659">
        <f t="shared" si="9"/>
        <v>9000000</v>
      </c>
      <c r="O44" s="605">
        <f t="shared" si="9"/>
        <v>4000000</v>
      </c>
      <c r="P44" s="349">
        <f>SUM(B44:O44)</f>
        <v>1042800750</v>
      </c>
      <c r="Q44" s="373"/>
      <c r="R44" s="373"/>
      <c r="S44" s="373"/>
      <c r="T44" s="373"/>
      <c r="U44" s="373"/>
      <c r="V44" s="49" t="s">
        <v>0</v>
      </c>
      <c r="W44" s="39">
        <v>91999904</v>
      </c>
      <c r="X44" s="80" t="s">
        <v>602</v>
      </c>
      <c r="Y44" s="80" t="s">
        <v>602</v>
      </c>
      <c r="Z44" s="60">
        <v>3012</v>
      </c>
      <c r="AA44" s="326">
        <v>80000000</v>
      </c>
      <c r="AB44" s="80"/>
      <c r="AC44" s="11"/>
    </row>
    <row r="45" spans="1:29">
      <c r="A45" s="411"/>
      <c r="B45" s="325"/>
      <c r="C45" s="326"/>
      <c r="D45" s="326"/>
      <c r="E45" s="334"/>
      <c r="F45" s="326"/>
      <c r="G45" s="326"/>
      <c r="H45" s="326"/>
      <c r="I45" s="326"/>
      <c r="J45" s="326"/>
      <c r="K45" s="334"/>
      <c r="L45" s="334"/>
      <c r="M45" s="334"/>
      <c r="N45" s="334"/>
      <c r="O45" s="334"/>
      <c r="P45" s="338"/>
      <c r="Q45" s="373"/>
      <c r="R45" s="373"/>
      <c r="S45" s="373"/>
      <c r="T45" s="373"/>
      <c r="U45" s="373"/>
      <c r="V45" s="49" t="s">
        <v>0</v>
      </c>
      <c r="W45" s="39">
        <v>91999906</v>
      </c>
      <c r="X45" s="80" t="s">
        <v>602</v>
      </c>
      <c r="Y45" s="80" t="s">
        <v>602</v>
      </c>
      <c r="Z45" s="60">
        <v>3012</v>
      </c>
      <c r="AA45" s="326">
        <v>7000</v>
      </c>
      <c r="AB45" s="80" t="s">
        <v>603</v>
      </c>
      <c r="AC45" s="11"/>
    </row>
    <row r="46" spans="1:29" ht="15.6">
      <c r="A46" s="412" t="s">
        <v>60</v>
      </c>
      <c r="B46" s="363"/>
      <c r="C46" s="356"/>
      <c r="D46" s="356"/>
      <c r="E46" s="364"/>
      <c r="F46" s="356"/>
      <c r="G46" s="356"/>
      <c r="H46" s="356"/>
      <c r="I46" s="356"/>
      <c r="J46" s="356"/>
      <c r="K46" s="364"/>
      <c r="L46" s="364"/>
      <c r="M46" s="364"/>
      <c r="N46" s="364"/>
      <c r="O46" s="364"/>
      <c r="P46" s="338"/>
      <c r="Q46" s="373"/>
      <c r="R46" s="373"/>
      <c r="S46" s="373"/>
      <c r="T46" s="373"/>
      <c r="U46" s="373"/>
      <c r="V46" s="49" t="s">
        <v>0</v>
      </c>
      <c r="W46" s="39">
        <v>91999908</v>
      </c>
      <c r="X46" s="80" t="s">
        <v>602</v>
      </c>
      <c r="Y46" s="80" t="s">
        <v>602</v>
      </c>
      <c r="Z46" s="60">
        <v>3015</v>
      </c>
      <c r="AA46" s="326">
        <v>150</v>
      </c>
      <c r="AB46" s="80" t="s">
        <v>610</v>
      </c>
      <c r="AC46" s="11"/>
    </row>
    <row r="47" spans="1:29">
      <c r="A47" s="407" t="s">
        <v>55</v>
      </c>
      <c r="B47" s="363"/>
      <c r="C47" s="356"/>
      <c r="D47" s="356"/>
      <c r="E47" s="364"/>
      <c r="F47" s="356"/>
      <c r="G47" s="356"/>
      <c r="H47" s="356"/>
      <c r="I47" s="356"/>
      <c r="J47" s="356"/>
      <c r="K47" s="364"/>
      <c r="L47" s="364"/>
      <c r="M47" s="364"/>
      <c r="N47" s="364"/>
      <c r="O47" s="364"/>
      <c r="P47" s="338"/>
      <c r="Q47" s="373"/>
      <c r="R47" s="373"/>
      <c r="S47" s="373"/>
      <c r="T47" s="373"/>
      <c r="U47" s="373"/>
      <c r="V47" s="49" t="s">
        <v>0</v>
      </c>
      <c r="W47" s="39">
        <v>91999908</v>
      </c>
      <c r="X47" s="80" t="s">
        <v>602</v>
      </c>
      <c r="Y47" s="80" t="s">
        <v>602</v>
      </c>
      <c r="Z47" s="60">
        <v>3016</v>
      </c>
      <c r="AA47" s="326">
        <v>300</v>
      </c>
      <c r="AB47" s="80" t="s">
        <v>612</v>
      </c>
      <c r="AC47" s="11"/>
    </row>
    <row r="48" spans="1:29">
      <c r="A48" s="417" t="s">
        <v>573</v>
      </c>
      <c r="B48" s="326">
        <f>ROUND(B101*'New Hire'!C54,0)</f>
        <v>520000</v>
      </c>
      <c r="C48" s="326">
        <f>ROUND(C101*'New Hire'!D54,0)</f>
        <v>421200</v>
      </c>
      <c r="D48" s="326">
        <f>ROUND(D101*'New Hire'!E54,0)</f>
        <v>0</v>
      </c>
      <c r="E48" s="326">
        <f>ROUND(E101*'New Hire'!F54,0)</f>
        <v>720000</v>
      </c>
      <c r="F48" s="326">
        <f>ROUND(F101*'New Hire'!G54,0)</f>
        <v>0</v>
      </c>
      <c r="G48" s="326">
        <f>ROUND(G101*'New Hire'!H54,0)</f>
        <v>0</v>
      </c>
      <c r="H48" s="326">
        <f>ROUND(H101*'New Hire'!I54,0)</f>
        <v>0</v>
      </c>
      <c r="I48" s="326">
        <f>ROUND(I101*'New Hire'!J54,0)</f>
        <v>0</v>
      </c>
      <c r="J48" s="326">
        <f>ROUND(J101*'New Hire'!K54,0)</f>
        <v>2224000</v>
      </c>
      <c r="K48" s="326">
        <f>ROUND(K101*'New Hire'!L54,0)</f>
        <v>0</v>
      </c>
      <c r="L48" s="326">
        <f>ROUND(L101*'New Hire'!M54,0)</f>
        <v>2224000</v>
      </c>
      <c r="M48" s="326">
        <f>ROUND(M101*'New Hire'!N54,0)</f>
        <v>0</v>
      </c>
      <c r="N48" s="326">
        <f>ROUND(N101*'New Hire'!O54,0)</f>
        <v>0</v>
      </c>
      <c r="O48" s="326">
        <f>ROUND(O101*'New Hire'!P54,0)</f>
        <v>0</v>
      </c>
      <c r="P48" s="338">
        <f t="shared" ref="P48:P59" si="10">SUM(B48:O48)</f>
        <v>6109200</v>
      </c>
      <c r="Q48" s="373"/>
      <c r="R48" s="373"/>
      <c r="S48" s="373"/>
      <c r="T48" s="373"/>
      <c r="U48" s="373"/>
      <c r="V48" s="49" t="s">
        <v>0</v>
      </c>
      <c r="W48" s="39">
        <v>91999901</v>
      </c>
      <c r="X48" s="80" t="s">
        <v>602</v>
      </c>
      <c r="Y48" s="80" t="s">
        <v>602</v>
      </c>
      <c r="Z48" s="60">
        <v>3132</v>
      </c>
      <c r="AA48" s="326">
        <v>10000000</v>
      </c>
      <c r="AB48" s="80"/>
      <c r="AC48" s="11"/>
    </row>
    <row r="49" spans="1:29">
      <c r="A49" s="436" t="s">
        <v>574</v>
      </c>
      <c r="B49" s="326">
        <f>ROUND(MIN(B102,83600000)*'New Hire'!C57,0)</f>
        <v>65000</v>
      </c>
      <c r="C49" s="326">
        <f>ROUND(MIN(C102,83600000)*'New Hire'!D57,0)</f>
        <v>52650</v>
      </c>
      <c r="D49" s="326">
        <f>ROUND(MIN(D102,83600000)*'New Hire'!E57,0)</f>
        <v>91000</v>
      </c>
      <c r="E49" s="326">
        <f>ROUND(MIN(E102,83600000)*'New Hire'!F57,0)</f>
        <v>90000</v>
      </c>
      <c r="F49" s="326">
        <f>ROUND(MIN(F102,83600000)*'New Hire'!G57,0)</f>
        <v>0</v>
      </c>
      <c r="G49" s="326">
        <f>ROUND(MIN(G102,83600000)*'New Hire'!H57,0)</f>
        <v>0</v>
      </c>
      <c r="H49" s="326">
        <f>ROUND(MIN(H102,83600000)*'New Hire'!I57,0)</f>
        <v>0</v>
      </c>
      <c r="I49" s="326">
        <f>ROUND(MIN(I102,83600000)*'New Hire'!J57,0)</f>
        <v>0</v>
      </c>
      <c r="J49" s="326">
        <f>ROUND(MIN(J102,83600000)*'New Hire'!K57,0)</f>
        <v>390000</v>
      </c>
      <c r="K49" s="326">
        <f>ROUND(MIN(K102,83600000)*'New Hire'!L57,0)</f>
        <v>0</v>
      </c>
      <c r="L49" s="326">
        <f>ROUND(MIN(L102,83600000)*'New Hire'!M57,0)</f>
        <v>836000</v>
      </c>
      <c r="M49" s="326">
        <f>ROUND(MIN(M102,83600000)*'New Hire'!N57,0)</f>
        <v>0</v>
      </c>
      <c r="N49" s="326">
        <f>ROUND(MIN(N102,83600000)*'New Hire'!O57,0)</f>
        <v>0</v>
      </c>
      <c r="O49" s="326">
        <f>ROUND(MIN(O102,83600000)*'New Hire'!P57,0)</f>
        <v>0</v>
      </c>
      <c r="P49" s="338">
        <f t="shared" si="10"/>
        <v>1524650</v>
      </c>
      <c r="Q49" s="373"/>
      <c r="R49" s="373"/>
      <c r="S49" s="373"/>
      <c r="T49" s="373"/>
      <c r="U49" s="373"/>
      <c r="V49" s="49" t="s">
        <v>0</v>
      </c>
      <c r="W49" s="39">
        <v>91999907</v>
      </c>
      <c r="X49" s="80" t="s">
        <v>602</v>
      </c>
      <c r="Y49" s="80" t="s">
        <v>602</v>
      </c>
      <c r="Z49" s="60">
        <v>3132</v>
      </c>
      <c r="AA49" s="326">
        <v>1000</v>
      </c>
      <c r="AB49" s="80" t="s">
        <v>612</v>
      </c>
      <c r="AC49" s="11"/>
    </row>
    <row r="50" spans="1:29">
      <c r="A50" s="436" t="s">
        <v>575</v>
      </c>
      <c r="B50" s="326">
        <f>ROUND(B101*'New Hire'!C60,0)</f>
        <v>97500</v>
      </c>
      <c r="C50" s="326">
        <f>ROUND(C101*'New Hire'!D60,0)</f>
        <v>78975</v>
      </c>
      <c r="D50" s="326">
        <f>ROUND(D101*'New Hire'!E60,0)</f>
        <v>136500</v>
      </c>
      <c r="E50" s="326">
        <f>ROUND(E101*'New Hire'!F60,0)</f>
        <v>135000</v>
      </c>
      <c r="F50" s="326">
        <f>ROUND(F101*'New Hire'!G60,0)</f>
        <v>0</v>
      </c>
      <c r="G50" s="326">
        <f>ROUND(G101*'New Hire'!H60,0)</f>
        <v>0</v>
      </c>
      <c r="H50" s="326">
        <f>ROUND(H101*'New Hire'!I60,0)</f>
        <v>417000</v>
      </c>
      <c r="I50" s="326">
        <f>ROUND(I101*'New Hire'!J60,0)</f>
        <v>417000</v>
      </c>
      <c r="J50" s="326">
        <f>ROUND(J101*'New Hire'!K60,0)</f>
        <v>417000</v>
      </c>
      <c r="K50" s="326">
        <f>ROUND(K101*'New Hire'!L60,0)</f>
        <v>0</v>
      </c>
      <c r="L50" s="326">
        <f>ROUND(L101*'New Hire'!M60,0)</f>
        <v>417000</v>
      </c>
      <c r="M50" s="326">
        <f>ROUND(M101*'New Hire'!N60,0)</f>
        <v>0</v>
      </c>
      <c r="N50" s="326">
        <f>ROUND(N101*'New Hire'!O60,0)</f>
        <v>0</v>
      </c>
      <c r="O50" s="326">
        <f>ROUND(O101*'New Hire'!P60,0)</f>
        <v>0</v>
      </c>
      <c r="P50" s="338">
        <f t="shared" si="10"/>
        <v>2115975</v>
      </c>
      <c r="Q50" s="373"/>
      <c r="R50" s="373"/>
      <c r="S50" s="373"/>
      <c r="T50" s="373"/>
      <c r="U50" s="373"/>
      <c r="V50" s="49" t="s">
        <v>0</v>
      </c>
      <c r="W50" s="39">
        <v>91999902</v>
      </c>
      <c r="X50" s="80" t="s">
        <v>602</v>
      </c>
      <c r="Y50" s="80" t="s">
        <v>602</v>
      </c>
      <c r="Z50" s="60">
        <v>3200</v>
      </c>
      <c r="AA50" s="326">
        <v>10000000</v>
      </c>
      <c r="AB50" s="80"/>
      <c r="AC50" s="11"/>
    </row>
    <row r="51" spans="1:29">
      <c r="A51" s="405" t="s">
        <v>846</v>
      </c>
      <c r="B51" s="325">
        <f>B108</f>
        <v>170939</v>
      </c>
      <c r="C51" s="326">
        <f>C108</f>
        <v>0</v>
      </c>
      <c r="D51" s="326">
        <f t="shared" ref="D51:O51" si="11">D108</f>
        <v>0</v>
      </c>
      <c r="E51" s="326">
        <f t="shared" si="11"/>
        <v>8930191</v>
      </c>
      <c r="F51" s="326">
        <f t="shared" si="11"/>
        <v>1120000</v>
      </c>
      <c r="G51" s="326">
        <f t="shared" si="11"/>
        <v>46288775</v>
      </c>
      <c r="H51" s="326">
        <f t="shared" si="11"/>
        <v>22933057</v>
      </c>
      <c r="I51" s="326">
        <f t="shared" si="11"/>
        <v>37824150</v>
      </c>
      <c r="J51" s="326">
        <f t="shared" si="11"/>
        <v>3743800</v>
      </c>
      <c r="K51" s="326">
        <f t="shared" si="11"/>
        <v>70000</v>
      </c>
      <c r="L51" s="326">
        <f t="shared" si="11"/>
        <v>17406900</v>
      </c>
      <c r="M51" s="326">
        <f t="shared" si="11"/>
        <v>0</v>
      </c>
      <c r="N51" s="326">
        <f t="shared" si="11"/>
        <v>0</v>
      </c>
      <c r="O51" s="326">
        <f t="shared" si="11"/>
        <v>400000</v>
      </c>
      <c r="P51" s="338">
        <f t="shared" si="10"/>
        <v>138887812</v>
      </c>
      <c r="Q51" s="373"/>
      <c r="R51" s="373"/>
      <c r="S51" s="373"/>
      <c r="T51" s="373"/>
      <c r="U51" s="373"/>
      <c r="V51" s="49" t="s">
        <v>0</v>
      </c>
      <c r="W51" s="39">
        <v>91999907</v>
      </c>
      <c r="X51" s="80" t="s">
        <v>602</v>
      </c>
      <c r="Y51" s="80" t="s">
        <v>602</v>
      </c>
      <c r="Z51" s="60">
        <v>3200</v>
      </c>
      <c r="AA51" s="326">
        <v>500</v>
      </c>
      <c r="AB51" s="80" t="s">
        <v>603</v>
      </c>
      <c r="AC51" s="11"/>
    </row>
    <row r="52" spans="1:29">
      <c r="A52" s="436" t="s">
        <v>512</v>
      </c>
      <c r="B52" s="326">
        <f t="shared" ref="B52:O52" si="12">B96-B73</f>
        <v>0</v>
      </c>
      <c r="C52" s="326">
        <f t="shared" si="12"/>
        <v>0</v>
      </c>
      <c r="D52" s="326">
        <f t="shared" si="12"/>
        <v>0</v>
      </c>
      <c r="E52" s="326">
        <f t="shared" si="12"/>
        <v>0</v>
      </c>
      <c r="F52" s="326">
        <f t="shared" si="12"/>
        <v>0</v>
      </c>
      <c r="G52" s="326">
        <f t="shared" si="12"/>
        <v>0</v>
      </c>
      <c r="H52" s="326">
        <f t="shared" si="12"/>
        <v>339726</v>
      </c>
      <c r="I52" s="326">
        <f t="shared" si="12"/>
        <v>0</v>
      </c>
      <c r="J52" s="326">
        <f t="shared" si="12"/>
        <v>0</v>
      </c>
      <c r="K52" s="326">
        <f t="shared" si="12"/>
        <v>0</v>
      </c>
      <c r="L52" s="326">
        <f t="shared" si="12"/>
        <v>0</v>
      </c>
      <c r="M52" s="326">
        <f t="shared" si="12"/>
        <v>0</v>
      </c>
      <c r="N52" s="326">
        <f t="shared" si="12"/>
        <v>0</v>
      </c>
      <c r="O52" s="326">
        <f t="shared" si="12"/>
        <v>0</v>
      </c>
      <c r="P52" s="338">
        <f t="shared" si="10"/>
        <v>339726</v>
      </c>
      <c r="Q52" s="373"/>
      <c r="R52" s="373"/>
      <c r="S52" s="373"/>
      <c r="T52" s="373"/>
      <c r="U52" s="373"/>
      <c r="V52" s="49" t="s">
        <v>0</v>
      </c>
      <c r="W52" s="39">
        <v>91999908</v>
      </c>
      <c r="X52" s="80" t="s">
        <v>602</v>
      </c>
      <c r="Y52" s="80" t="s">
        <v>602</v>
      </c>
      <c r="Z52" s="60">
        <v>3291</v>
      </c>
      <c r="AA52" s="326">
        <v>5000</v>
      </c>
      <c r="AB52" s="80" t="s">
        <v>603</v>
      </c>
      <c r="AC52" s="11"/>
    </row>
    <row r="53" spans="1:29">
      <c r="A53" s="436" t="s">
        <v>533</v>
      </c>
      <c r="B53" s="326">
        <f>IF(OR(B18="A",B18="B"),ROUND(2369796*B19*B16/365,0),ROUND(2466.55*$B$4*B19*B16/12,0))-B42</f>
        <v>0</v>
      </c>
      <c r="C53" s="326">
        <f>IF(OR(C18="A",C18="B"),ROUND(2369796*C19*C16/365,0),ROUND(2466.55*$B$4*C19*C16/12,0))-C42</f>
        <v>40254</v>
      </c>
      <c r="D53" s="326">
        <v>0</v>
      </c>
      <c r="E53" s="326">
        <f>IF(OR(E18="A",E18="B"),ROUND(2369796*E19*E16/365,0),ROUND(2466.55*$B$4*E19*E16/12,0))-E42</f>
        <v>301905</v>
      </c>
      <c r="F53" s="326">
        <f>IF(OR(F18="A",F18="B"),ROUND(2369796*F19*F16/365,0),ROUND(2466.55*$B$4*F19*F16/12,0))-F42</f>
        <v>0</v>
      </c>
      <c r="G53" s="326">
        <f>IF(OR(G18="A",G18="B"),ROUND(2369796*G19*G16/365,0),ROUND(2466.55*$B$4*G19*G16/12,0))-G42</f>
        <v>0</v>
      </c>
      <c r="H53" s="326">
        <f>ROUND((ROUND(2466.55*$B$4,0)+ROUND(863.29*$B$4,0))/365*H16,0)-H42</f>
        <v>3281283</v>
      </c>
      <c r="I53" s="326">
        <f t="shared" ref="I53:O53" si="13">I42</f>
        <v>0</v>
      </c>
      <c r="J53" s="326">
        <f t="shared" si="13"/>
        <v>0</v>
      </c>
      <c r="K53" s="326">
        <f t="shared" si="13"/>
        <v>0</v>
      </c>
      <c r="L53" s="326">
        <f t="shared" si="13"/>
        <v>0</v>
      </c>
      <c r="M53" s="326">
        <f t="shared" si="13"/>
        <v>0</v>
      </c>
      <c r="N53" s="326">
        <f t="shared" si="13"/>
        <v>0</v>
      </c>
      <c r="O53" s="326">
        <f t="shared" si="13"/>
        <v>0</v>
      </c>
      <c r="P53" s="338">
        <f t="shared" si="10"/>
        <v>3623442</v>
      </c>
      <c r="Q53" s="373"/>
      <c r="R53" s="373"/>
      <c r="S53" s="373"/>
      <c r="T53" s="373"/>
      <c r="U53" s="373"/>
      <c r="V53" s="49" t="s">
        <v>0</v>
      </c>
      <c r="W53" s="39">
        <v>91999907</v>
      </c>
      <c r="X53" s="80" t="s">
        <v>602</v>
      </c>
      <c r="Y53" s="80" t="s">
        <v>602</v>
      </c>
      <c r="Z53" s="60">
        <v>3299</v>
      </c>
      <c r="AA53" s="326">
        <v>200</v>
      </c>
      <c r="AB53" s="80" t="s">
        <v>603</v>
      </c>
      <c r="AC53" s="11"/>
    </row>
    <row r="54" spans="1:29">
      <c r="A54" s="436" t="s">
        <v>536</v>
      </c>
      <c r="B54" s="326"/>
      <c r="C54" s="326"/>
      <c r="D54" s="326"/>
      <c r="E54" s="326"/>
      <c r="F54" s="326"/>
      <c r="G54" s="326"/>
      <c r="H54" s="326">
        <f>H97</f>
        <v>594521</v>
      </c>
      <c r="I54" s="326"/>
      <c r="J54" s="326"/>
      <c r="K54" s="326"/>
      <c r="L54" s="326"/>
      <c r="M54" s="326"/>
      <c r="N54" s="326"/>
      <c r="O54" s="326"/>
      <c r="P54" s="338">
        <f t="shared" si="10"/>
        <v>594521</v>
      </c>
      <c r="Q54" s="373"/>
      <c r="R54" s="373"/>
      <c r="S54" s="341"/>
      <c r="T54" s="341"/>
      <c r="U54" s="341"/>
      <c r="V54" s="49" t="s">
        <v>0</v>
      </c>
      <c r="W54" s="39">
        <v>91999909</v>
      </c>
      <c r="X54" s="80" t="s">
        <v>602</v>
      </c>
      <c r="Y54" s="80" t="s">
        <v>602</v>
      </c>
      <c r="Z54" s="60">
        <v>3299</v>
      </c>
      <c r="AA54" s="326">
        <v>6000000</v>
      </c>
      <c r="AB54" s="80"/>
      <c r="AC54" s="11"/>
    </row>
    <row r="55" spans="1:29">
      <c r="A55" s="436" t="s">
        <v>537</v>
      </c>
      <c r="B55" s="326"/>
      <c r="C55" s="326"/>
      <c r="D55" s="326"/>
      <c r="E55" s="326"/>
      <c r="F55" s="326"/>
      <c r="G55" s="326"/>
      <c r="H55" s="326">
        <f>ROUND((ROUND(297.1*$B$4,0)+ROUND(103.98*$B$4,0))*H16/365,0)</f>
        <v>790463</v>
      </c>
      <c r="I55" s="326"/>
      <c r="J55" s="326"/>
      <c r="K55" s="326"/>
      <c r="L55" s="326"/>
      <c r="M55" s="326"/>
      <c r="N55" s="326"/>
      <c r="O55" s="394"/>
      <c r="P55" s="349">
        <f t="shared" si="10"/>
        <v>790463</v>
      </c>
      <c r="Q55" s="341"/>
      <c r="R55" s="341"/>
      <c r="S55" s="341"/>
      <c r="T55" s="341"/>
      <c r="U55" s="341"/>
      <c r="V55" s="49" t="s">
        <v>0</v>
      </c>
      <c r="W55" s="39">
        <v>91999904</v>
      </c>
      <c r="X55" s="80" t="s">
        <v>602</v>
      </c>
      <c r="Y55" s="80" t="s">
        <v>602</v>
      </c>
      <c r="Z55" s="60" t="s">
        <v>613</v>
      </c>
      <c r="AA55" s="326">
        <v>-5000000</v>
      </c>
      <c r="AB55" s="80"/>
      <c r="AC55" s="11"/>
    </row>
    <row r="56" spans="1:29">
      <c r="A56" s="405" t="s">
        <v>586</v>
      </c>
      <c r="B56" s="325"/>
      <c r="C56" s="326">
        <f>AA59</f>
        <v>3000000</v>
      </c>
      <c r="D56" s="326"/>
      <c r="E56" s="326"/>
      <c r="F56" s="326"/>
      <c r="G56" s="326">
        <f>AA60*B4</f>
        <v>16243500</v>
      </c>
      <c r="H56" s="326"/>
      <c r="I56" s="326"/>
      <c r="J56" s="326"/>
      <c r="K56" s="326"/>
      <c r="L56" s="326"/>
      <c r="M56" s="326"/>
      <c r="N56" s="326"/>
      <c r="O56" s="394"/>
      <c r="P56" s="349">
        <f t="shared" si="10"/>
        <v>19243500</v>
      </c>
      <c r="Q56" s="373"/>
      <c r="R56" s="373" t="s">
        <v>1292</v>
      </c>
      <c r="S56" s="373"/>
      <c r="T56" s="373"/>
      <c r="U56" s="373"/>
      <c r="V56" s="49" t="s">
        <v>0</v>
      </c>
      <c r="W56" s="39">
        <v>91999905</v>
      </c>
      <c r="X56" s="80" t="s">
        <v>602</v>
      </c>
      <c r="Y56" s="80" t="s">
        <v>602</v>
      </c>
      <c r="Z56" s="60" t="s">
        <v>613</v>
      </c>
      <c r="AA56" s="326">
        <v>5000000</v>
      </c>
      <c r="AB56" s="80"/>
      <c r="AC56" s="11"/>
    </row>
    <row r="57" spans="1:29">
      <c r="A57" s="405" t="s">
        <v>587</v>
      </c>
      <c r="B57" s="325"/>
      <c r="C57" s="326"/>
      <c r="D57" s="326">
        <f>AA61</f>
        <v>4000000</v>
      </c>
      <c r="E57" s="334"/>
      <c r="F57" s="326"/>
      <c r="G57" s="326"/>
      <c r="H57" s="326">
        <f>AA62*B4</f>
        <v>13923000</v>
      </c>
      <c r="I57" s="326"/>
      <c r="J57" s="326"/>
      <c r="K57" s="334"/>
      <c r="L57" s="334"/>
      <c r="M57" s="334"/>
      <c r="N57" s="334"/>
      <c r="O57" s="395"/>
      <c r="P57" s="349">
        <f t="shared" si="10"/>
        <v>17923000</v>
      </c>
      <c r="Q57" s="373"/>
      <c r="R57" s="373"/>
      <c r="S57" s="373"/>
      <c r="T57" s="373"/>
      <c r="U57" s="373"/>
      <c r="V57" s="49" t="s">
        <v>0</v>
      </c>
      <c r="W57" s="39">
        <v>91999903</v>
      </c>
      <c r="X57" s="80" t="s">
        <v>602</v>
      </c>
      <c r="Y57" s="80" t="s">
        <v>602</v>
      </c>
      <c r="Z57" s="60">
        <v>3011</v>
      </c>
      <c r="AA57" s="326">
        <v>10000000</v>
      </c>
      <c r="AB57" s="80"/>
      <c r="AC57" s="11"/>
    </row>
    <row r="58" spans="1:29">
      <c r="A58" s="405" t="s">
        <v>588</v>
      </c>
      <c r="B58" s="325"/>
      <c r="C58" s="326"/>
      <c r="D58" s="326"/>
      <c r="E58" s="326">
        <f>AA63</f>
        <v>5000000</v>
      </c>
      <c r="F58" s="326"/>
      <c r="G58" s="326"/>
      <c r="H58" s="326"/>
      <c r="I58" s="326">
        <f>AA64*B4</f>
        <v>11602500</v>
      </c>
      <c r="J58" s="326"/>
      <c r="K58" s="334"/>
      <c r="L58" s="334"/>
      <c r="M58" s="334"/>
      <c r="N58" s="334"/>
      <c r="O58" s="395"/>
      <c r="P58" s="349">
        <f t="shared" si="10"/>
        <v>16602500</v>
      </c>
      <c r="Q58" s="373"/>
      <c r="R58" s="373"/>
      <c r="S58" s="373"/>
      <c r="T58" s="373"/>
      <c r="U58" s="373"/>
      <c r="V58" s="49" t="s">
        <v>0</v>
      </c>
      <c r="W58" s="39">
        <v>91999908</v>
      </c>
      <c r="X58" s="80" t="s">
        <v>602</v>
      </c>
      <c r="Y58" s="80" t="s">
        <v>602</v>
      </c>
      <c r="Z58" s="60">
        <v>3011</v>
      </c>
      <c r="AA58" s="326">
        <v>10000</v>
      </c>
      <c r="AB58" s="80" t="s">
        <v>615</v>
      </c>
      <c r="AC58" s="11"/>
    </row>
    <row r="59" spans="1:29">
      <c r="A59" s="405" t="s">
        <v>616</v>
      </c>
      <c r="B59" s="325">
        <f>AA65</f>
        <v>6000000</v>
      </c>
      <c r="C59" s="326"/>
      <c r="D59" s="326"/>
      <c r="E59" s="334"/>
      <c r="F59" s="326"/>
      <c r="G59" s="326">
        <f>AA66*B4</f>
        <v>9282000</v>
      </c>
      <c r="H59" s="326"/>
      <c r="I59" s="326"/>
      <c r="J59" s="326"/>
      <c r="K59" s="326"/>
      <c r="L59" s="334"/>
      <c r="M59" s="334"/>
      <c r="N59" s="334"/>
      <c r="O59" s="395"/>
      <c r="P59" s="349">
        <f t="shared" si="10"/>
        <v>15282000</v>
      </c>
      <c r="Q59" s="373"/>
      <c r="R59" s="373"/>
      <c r="S59" s="373"/>
      <c r="T59" s="373"/>
      <c r="U59" s="373"/>
      <c r="V59" s="49" t="s">
        <v>0</v>
      </c>
      <c r="W59" s="39">
        <v>91999902</v>
      </c>
      <c r="X59" s="80" t="s">
        <v>602</v>
      </c>
      <c r="Y59" s="80" t="s">
        <v>602</v>
      </c>
      <c r="Z59" s="60">
        <v>7090</v>
      </c>
      <c r="AA59" s="326">
        <v>3000000</v>
      </c>
      <c r="AB59" s="80"/>
      <c r="AC59" s="11"/>
    </row>
    <row r="60" spans="1:29">
      <c r="A60" s="405" t="s">
        <v>589</v>
      </c>
      <c r="B60" s="325"/>
      <c r="C60" s="326"/>
      <c r="D60" s="326"/>
      <c r="E60" s="334">
        <f>AA67</f>
        <v>2000000</v>
      </c>
      <c r="F60" s="326"/>
      <c r="G60" s="326">
        <f>AA68*B4</f>
        <v>23205000</v>
      </c>
      <c r="H60" s="326"/>
      <c r="I60" s="326"/>
      <c r="J60" s="326"/>
      <c r="K60" s="334"/>
      <c r="L60" s="334"/>
      <c r="M60" s="334"/>
      <c r="N60" s="334"/>
      <c r="O60" s="395"/>
      <c r="P60" s="349">
        <f>SUM(B60:O60)</f>
        <v>25205000</v>
      </c>
      <c r="Q60" s="373"/>
      <c r="R60" s="373"/>
      <c r="S60" s="373"/>
      <c r="T60" s="373"/>
      <c r="U60" s="373"/>
      <c r="V60" s="49" t="s">
        <v>0</v>
      </c>
      <c r="W60" s="39">
        <v>91999906</v>
      </c>
      <c r="X60" s="80" t="s">
        <v>602</v>
      </c>
      <c r="Y60" s="80" t="s">
        <v>602</v>
      </c>
      <c r="Z60" s="60">
        <v>7090</v>
      </c>
      <c r="AA60" s="326">
        <v>700</v>
      </c>
      <c r="AB60" s="80" t="s">
        <v>611</v>
      </c>
      <c r="AC60" s="11"/>
    </row>
    <row r="61" spans="1:29">
      <c r="A61" s="405" t="s">
        <v>590</v>
      </c>
      <c r="B61" s="325"/>
      <c r="C61" s="326"/>
      <c r="D61" s="326"/>
      <c r="E61" s="334"/>
      <c r="F61" s="326"/>
      <c r="G61" s="326"/>
      <c r="H61" s="326">
        <f>AA70*B4</f>
        <v>6961500</v>
      </c>
      <c r="I61" s="326"/>
      <c r="J61" s="326"/>
      <c r="K61" s="334"/>
      <c r="L61" s="334"/>
      <c r="M61" s="334"/>
      <c r="N61" s="334"/>
      <c r="O61" s="395">
        <f>AA69</f>
        <v>4000000</v>
      </c>
      <c r="P61" s="349">
        <f>SUM(B61:O61)</f>
        <v>10961500</v>
      </c>
      <c r="Q61" s="373"/>
      <c r="R61" s="373"/>
      <c r="S61" s="373"/>
      <c r="T61" s="373"/>
      <c r="U61" s="373"/>
      <c r="V61" s="49" t="s">
        <v>0</v>
      </c>
      <c r="W61" s="39">
        <v>91999903</v>
      </c>
      <c r="X61" s="80" t="s">
        <v>602</v>
      </c>
      <c r="Y61" s="80" t="s">
        <v>602</v>
      </c>
      <c r="Z61" s="60" t="s">
        <v>617</v>
      </c>
      <c r="AA61" s="326">
        <v>4000000</v>
      </c>
      <c r="AB61" s="80"/>
      <c r="AC61" s="11"/>
    </row>
    <row r="62" spans="1:29">
      <c r="A62" s="405"/>
      <c r="B62" s="365"/>
      <c r="C62" s="366"/>
      <c r="D62" s="366"/>
      <c r="E62" s="367"/>
      <c r="F62" s="366"/>
      <c r="G62" s="366"/>
      <c r="H62" s="366"/>
      <c r="I62" s="366"/>
      <c r="J62" s="366"/>
      <c r="K62" s="367"/>
      <c r="L62" s="367"/>
      <c r="M62" s="367"/>
      <c r="N62" s="367"/>
      <c r="O62" s="397"/>
      <c r="P62" s="349"/>
      <c r="Q62" s="373"/>
      <c r="R62" s="373"/>
      <c r="S62" s="373"/>
      <c r="T62" s="373"/>
      <c r="U62" s="373"/>
      <c r="V62" s="49" t="s">
        <v>0</v>
      </c>
      <c r="W62" s="39">
        <v>91999907</v>
      </c>
      <c r="X62" s="80" t="s">
        <v>602</v>
      </c>
      <c r="Y62" s="80" t="s">
        <v>602</v>
      </c>
      <c r="Z62" s="60" t="s">
        <v>617</v>
      </c>
      <c r="AA62" s="326">
        <v>600</v>
      </c>
      <c r="AB62" s="80" t="s">
        <v>618</v>
      </c>
      <c r="AC62" s="11"/>
    </row>
    <row r="63" spans="1:29">
      <c r="A63" s="413" t="s">
        <v>4</v>
      </c>
      <c r="B63" s="359">
        <f t="shared" ref="B63:O63" si="14">SUM(B48:B62)</f>
        <v>6853439</v>
      </c>
      <c r="C63" s="360">
        <f t="shared" si="14"/>
        <v>3593079</v>
      </c>
      <c r="D63" s="360">
        <f t="shared" si="14"/>
        <v>4227500</v>
      </c>
      <c r="E63" s="360">
        <f t="shared" si="14"/>
        <v>17177096</v>
      </c>
      <c r="F63" s="360">
        <f t="shared" si="14"/>
        <v>1120000</v>
      </c>
      <c r="G63" s="360">
        <f t="shared" si="14"/>
        <v>95019275</v>
      </c>
      <c r="H63" s="360">
        <f t="shared" si="14"/>
        <v>49240550</v>
      </c>
      <c r="I63" s="360">
        <f t="shared" si="14"/>
        <v>49843650</v>
      </c>
      <c r="J63" s="360">
        <f t="shared" si="14"/>
        <v>6774800</v>
      </c>
      <c r="K63" s="360">
        <f t="shared" si="14"/>
        <v>70000</v>
      </c>
      <c r="L63" s="360">
        <f t="shared" si="14"/>
        <v>20883900</v>
      </c>
      <c r="M63" s="360">
        <f t="shared" si="14"/>
        <v>0</v>
      </c>
      <c r="N63" s="360">
        <f t="shared" si="14"/>
        <v>0</v>
      </c>
      <c r="O63" s="605">
        <f t="shared" si="14"/>
        <v>4400000</v>
      </c>
      <c r="P63" s="349">
        <f>SUM(B63:O63)</f>
        <v>259203289</v>
      </c>
      <c r="Q63" s="373"/>
      <c r="R63" s="373"/>
      <c r="S63" s="373"/>
      <c r="T63" s="373"/>
      <c r="U63" s="373"/>
      <c r="V63" s="49" t="s">
        <v>0</v>
      </c>
      <c r="W63" s="39">
        <v>91999904</v>
      </c>
      <c r="X63" s="80" t="s">
        <v>602</v>
      </c>
      <c r="Y63" s="80" t="s">
        <v>602</v>
      </c>
      <c r="Z63" s="60">
        <v>7050</v>
      </c>
      <c r="AA63" s="326">
        <v>5000000</v>
      </c>
      <c r="AB63" s="80"/>
      <c r="AC63" s="11"/>
    </row>
    <row r="64" spans="1:29">
      <c r="A64" s="414"/>
      <c r="B64" s="325"/>
      <c r="C64" s="326"/>
      <c r="D64" s="326"/>
      <c r="E64" s="334"/>
      <c r="F64" s="326"/>
      <c r="G64" s="326"/>
      <c r="H64" s="326"/>
      <c r="I64" s="326"/>
      <c r="J64" s="326"/>
      <c r="K64" s="334"/>
      <c r="L64" s="334"/>
      <c r="M64" s="334"/>
      <c r="N64" s="334"/>
      <c r="O64" s="395"/>
      <c r="P64" s="349"/>
      <c r="Q64" s="373"/>
      <c r="R64" s="373"/>
      <c r="S64" s="373"/>
      <c r="T64" s="373"/>
      <c r="U64" s="373"/>
      <c r="V64" s="49" t="s">
        <v>0</v>
      </c>
      <c r="W64" s="39">
        <v>91999908</v>
      </c>
      <c r="X64" s="80" t="s">
        <v>602</v>
      </c>
      <c r="Y64" s="80" t="s">
        <v>602</v>
      </c>
      <c r="Z64" s="60">
        <v>7050</v>
      </c>
      <c r="AA64" s="326">
        <v>500</v>
      </c>
      <c r="AB64" s="80" t="s">
        <v>619</v>
      </c>
      <c r="AC64" s="11"/>
    </row>
    <row r="65" spans="1:29" ht="14.4" thickBot="1">
      <c r="A65" s="441" t="s">
        <v>5</v>
      </c>
      <c r="B65" s="328">
        <f t="shared" ref="B65:O65" si="15">MAX(B44-B63,0)</f>
        <v>9646561</v>
      </c>
      <c r="C65" s="328">
        <f t="shared" si="15"/>
        <v>11671921</v>
      </c>
      <c r="D65" s="328">
        <f t="shared" si="15"/>
        <v>17872500</v>
      </c>
      <c r="E65" s="328">
        <f t="shared" si="15"/>
        <v>66822904</v>
      </c>
      <c r="F65" s="328">
        <f t="shared" si="15"/>
        <v>15080000</v>
      </c>
      <c r="G65" s="328">
        <f t="shared" si="15"/>
        <v>90620725</v>
      </c>
      <c r="H65" s="328">
        <f t="shared" si="15"/>
        <v>66784450</v>
      </c>
      <c r="I65" s="328">
        <f t="shared" si="15"/>
        <v>371327100</v>
      </c>
      <c r="J65" s="328">
        <f t="shared" si="15"/>
        <v>38225200</v>
      </c>
      <c r="K65" s="328">
        <f t="shared" si="15"/>
        <v>10330000</v>
      </c>
      <c r="L65" s="328">
        <f t="shared" si="15"/>
        <v>69116100</v>
      </c>
      <c r="M65" s="328">
        <f t="shared" si="15"/>
        <v>7500000</v>
      </c>
      <c r="N65" s="328">
        <f t="shared" si="15"/>
        <v>9000000</v>
      </c>
      <c r="O65" s="398">
        <f t="shared" si="15"/>
        <v>0</v>
      </c>
      <c r="P65" s="349">
        <f>SUM(B65:O65)</f>
        <v>783997461</v>
      </c>
      <c r="Q65" s="373"/>
      <c r="R65" s="373"/>
      <c r="S65" s="373"/>
      <c r="T65" s="373"/>
      <c r="U65" s="373"/>
      <c r="V65" s="49" t="s">
        <v>0</v>
      </c>
      <c r="W65" s="39">
        <v>91999901</v>
      </c>
      <c r="X65" s="80" t="s">
        <v>602</v>
      </c>
      <c r="Y65" s="80" t="s">
        <v>602</v>
      </c>
      <c r="Z65" s="60">
        <v>7055</v>
      </c>
      <c r="AA65" s="326">
        <v>6000000</v>
      </c>
      <c r="AB65" s="80"/>
      <c r="AC65" s="11"/>
    </row>
    <row r="66" spans="1:29" ht="14.4" thickTop="1">
      <c r="A66" s="441" t="s">
        <v>1132</v>
      </c>
      <c r="B66" s="326">
        <f t="shared" ref="B66:O66" si="16">MAX(B63-B44,0)</f>
        <v>0</v>
      </c>
      <c r="C66" s="326">
        <f t="shared" si="16"/>
        <v>0</v>
      </c>
      <c r="D66" s="326">
        <f t="shared" si="16"/>
        <v>0</v>
      </c>
      <c r="E66" s="326">
        <f t="shared" si="16"/>
        <v>0</v>
      </c>
      <c r="F66" s="326">
        <f t="shared" si="16"/>
        <v>0</v>
      </c>
      <c r="G66" s="326">
        <f t="shared" si="16"/>
        <v>0</v>
      </c>
      <c r="H66" s="326">
        <f t="shared" si="16"/>
        <v>0</v>
      </c>
      <c r="I66" s="326">
        <f t="shared" si="16"/>
        <v>0</v>
      </c>
      <c r="J66" s="326">
        <f t="shared" si="16"/>
        <v>0</v>
      </c>
      <c r="K66" s="326">
        <f t="shared" si="16"/>
        <v>0</v>
      </c>
      <c r="L66" s="326">
        <f t="shared" si="16"/>
        <v>0</v>
      </c>
      <c r="M66" s="326">
        <f t="shared" si="16"/>
        <v>0</v>
      </c>
      <c r="N66" s="326">
        <f t="shared" si="16"/>
        <v>0</v>
      </c>
      <c r="O66" s="394">
        <f t="shared" si="16"/>
        <v>400000</v>
      </c>
      <c r="P66" s="349">
        <f>SUM(B66:O66)</f>
        <v>400000</v>
      </c>
      <c r="Q66" s="373"/>
      <c r="R66" s="373"/>
      <c r="S66" s="373"/>
      <c r="T66" s="373"/>
      <c r="U66" s="373"/>
      <c r="V66" s="49" t="s">
        <v>0</v>
      </c>
      <c r="W66" s="39">
        <v>91999906</v>
      </c>
      <c r="X66" s="80" t="s">
        <v>602</v>
      </c>
      <c r="Y66" s="80" t="s">
        <v>602</v>
      </c>
      <c r="Z66" s="60">
        <v>7055</v>
      </c>
      <c r="AA66" s="326">
        <v>400</v>
      </c>
      <c r="AB66" s="80" t="s">
        <v>611</v>
      </c>
      <c r="AC66" s="11"/>
    </row>
    <row r="67" spans="1:29" ht="15.6">
      <c r="A67" s="404" t="s">
        <v>62</v>
      </c>
      <c r="B67" s="368"/>
      <c r="C67" s="399"/>
      <c r="D67" s="399"/>
      <c r="E67" s="364"/>
      <c r="F67" s="399"/>
      <c r="G67" s="399"/>
      <c r="H67" s="400"/>
      <c r="I67" s="399"/>
      <c r="J67" s="399"/>
      <c r="K67" s="364"/>
      <c r="L67" s="364"/>
      <c r="M67" s="364"/>
      <c r="N67" s="364"/>
      <c r="O67" s="377"/>
      <c r="P67" s="377"/>
      <c r="Q67" s="373"/>
      <c r="R67" s="373"/>
      <c r="S67" s="373"/>
      <c r="T67" s="373"/>
      <c r="U67" s="373"/>
      <c r="V67" s="49" t="s">
        <v>0</v>
      </c>
      <c r="W67" s="39">
        <v>91999904</v>
      </c>
      <c r="X67" s="80" t="s">
        <v>602</v>
      </c>
      <c r="Y67" s="80" t="s">
        <v>602</v>
      </c>
      <c r="Z67" s="60">
        <v>7080</v>
      </c>
      <c r="AA67" s="326">
        <v>2000000</v>
      </c>
      <c r="AB67" s="80"/>
      <c r="AC67" s="11"/>
    </row>
    <row r="68" spans="1:29">
      <c r="A68" s="417" t="s">
        <v>570</v>
      </c>
      <c r="B68" s="326">
        <f>IF(B14&gt;B15/2,ROUND(B101*'New Hire'!C55,0),0)</f>
        <v>1105000</v>
      </c>
      <c r="C68" s="326">
        <f>IF(C14&gt;C15/2,ROUND(C101*'New Hire'!D55,0),0)</f>
        <v>921375</v>
      </c>
      <c r="D68" s="326">
        <f>IF(D14&gt;D15/2,ROUND(D101*'New Hire'!E55,0),0)</f>
        <v>45500</v>
      </c>
      <c r="E68" s="326">
        <f>IF(E14&gt;E15/2,ROUND(E101*'New Hire'!F55,0),0)</f>
        <v>1530000</v>
      </c>
      <c r="F68" s="326">
        <f>IF(F14&gt;F15/2,ROUND(F101*'New Hire'!G55,0),0)</f>
        <v>0</v>
      </c>
      <c r="G68" s="326">
        <f>IF(G14&gt;G15/2,ROUND(G101*'New Hire'!H55,0),0)</f>
        <v>0</v>
      </c>
      <c r="H68" s="326">
        <f>IF(H14&gt;H15/2,ROUND(H101*'New Hire'!I55,0),0)</f>
        <v>834000</v>
      </c>
      <c r="I68" s="326">
        <f>IF(I14&gt;I15/2,ROUND(I101*'New Hire'!J55,0),0)</f>
        <v>139000</v>
      </c>
      <c r="J68" s="326">
        <f>IF(J14&gt;J15/2,ROUND(J101*'New Hire'!K55,0),0)</f>
        <v>4726000</v>
      </c>
      <c r="K68" s="326">
        <f>IF(K14&gt;K15/2,ROUND(K101*'New Hire'!L55,0),0)</f>
        <v>0</v>
      </c>
      <c r="L68" s="326">
        <f>IF(L14&gt;L15/2,ROUND(L101*'New Hire'!M55,0),0)</f>
        <v>4726000</v>
      </c>
      <c r="M68" s="326">
        <f>IF(M14&gt;M15/2,ROUND(M101*'New Hire'!N55,0),0)</f>
        <v>0</v>
      </c>
      <c r="N68" s="326">
        <f>IF(N14&gt;N15/2,ROUND(N101*'New Hire'!O55,0),0)</f>
        <v>0</v>
      </c>
      <c r="O68" s="326">
        <f>IF(O14&gt;O15/2,ROUND(O101*'New Hire'!P55,0),0)</f>
        <v>0</v>
      </c>
      <c r="P68" s="339">
        <f t="shared" ref="P68:P73" si="17">SUM(B68:O68)</f>
        <v>14026875</v>
      </c>
      <c r="Q68" s="373"/>
      <c r="R68" s="373"/>
      <c r="S68" s="373"/>
      <c r="T68" s="373"/>
      <c r="U68" s="373"/>
      <c r="V68" s="49" t="s">
        <v>0</v>
      </c>
      <c r="W68" s="39">
        <v>91999906</v>
      </c>
      <c r="X68" s="80" t="s">
        <v>602</v>
      </c>
      <c r="Y68" s="80" t="s">
        <v>602</v>
      </c>
      <c r="Z68" s="60">
        <v>7080</v>
      </c>
      <c r="AA68" s="326">
        <v>1000</v>
      </c>
      <c r="AB68" s="80" t="s">
        <v>618</v>
      </c>
      <c r="AC68" s="11"/>
    </row>
    <row r="69" spans="1:29">
      <c r="A69" s="436" t="s">
        <v>571</v>
      </c>
      <c r="B69" s="326">
        <f>IF(B14&gt;B15/2,ROUND(MIN(B102,83600000)*'New Hire'!C58,0),0)</f>
        <v>65000</v>
      </c>
      <c r="C69" s="326">
        <f>IF(C14&gt;C15/2,ROUND(MIN(C102,83600000)*'New Hire'!D58,0),0)</f>
        <v>52650</v>
      </c>
      <c r="D69" s="326">
        <f>IF(D14&gt;D15/2,ROUND(MIN(D102,83600000)*'New Hire'!E58,0),0)</f>
        <v>91000</v>
      </c>
      <c r="E69" s="326">
        <f>IF(E14&gt;E15/2,ROUND(MIN(E102,83600000)*'New Hire'!F58,0),0)</f>
        <v>90000</v>
      </c>
      <c r="F69" s="326">
        <f>IF(F14&gt;F15/2,ROUND(MIN(F102,83600000)*'New Hire'!G58,0),0)</f>
        <v>0</v>
      </c>
      <c r="G69" s="326">
        <f>IF(G14&gt;G15/2,ROUND(MIN(G102,83600000)*'New Hire'!H58,0),0)</f>
        <v>0</v>
      </c>
      <c r="H69" s="326">
        <f>IF(H14&gt;H15/2,ROUND(MIN(H102,83600000)*'New Hire'!I58,0),0)</f>
        <v>0</v>
      </c>
      <c r="I69" s="326">
        <f>IF(I14&gt;I15/2,ROUND(MIN(I102,83600000)*'New Hire'!J58,0),0)</f>
        <v>0</v>
      </c>
      <c r="J69" s="326">
        <f>IF(J14&gt;J15/2,ROUND(MIN(J102,83600000)*'New Hire'!K58,0),0)</f>
        <v>390000</v>
      </c>
      <c r="K69" s="326">
        <f>IF(K14&gt;K15/2,ROUND(MIN(K102,83600000)*'New Hire'!L58,0),0)</f>
        <v>0</v>
      </c>
      <c r="L69" s="326">
        <f>IF(L14&gt;L15/2,ROUND(MIN(L102,83600000)*'New Hire'!M58,0),0)</f>
        <v>836000</v>
      </c>
      <c r="M69" s="326">
        <f>IF(M14&gt;M15/2,ROUND(MIN(M102,83600000)*'New Hire'!N58,0),0)</f>
        <v>0</v>
      </c>
      <c r="N69" s="326">
        <f>IF(N14&gt;N15/2,ROUND(MIN(N102,83600000)*'New Hire'!O58,0),0)</f>
        <v>0</v>
      </c>
      <c r="O69" s="326">
        <f>IF(O14&gt;O15/2,ROUND(MIN(O102,83600000)*'New Hire'!P58,0),0)</f>
        <v>0</v>
      </c>
      <c r="P69" s="339">
        <f t="shared" si="17"/>
        <v>1524650</v>
      </c>
      <c r="Q69" s="373"/>
      <c r="R69" s="373"/>
      <c r="S69" s="373"/>
      <c r="T69" s="373"/>
      <c r="U69" s="373"/>
      <c r="V69" s="49" t="s">
        <v>0</v>
      </c>
      <c r="W69" s="39">
        <v>91999914</v>
      </c>
      <c r="X69" s="80" t="s">
        <v>602</v>
      </c>
      <c r="Y69" s="80" t="s">
        <v>602</v>
      </c>
      <c r="Z69" s="60">
        <v>7850</v>
      </c>
      <c r="AA69" s="326">
        <v>4000000</v>
      </c>
      <c r="AB69" s="80"/>
      <c r="AC69" s="11"/>
    </row>
    <row r="70" spans="1:29">
      <c r="A70" s="436" t="s">
        <v>572</v>
      </c>
      <c r="B70" s="326">
        <f>IF(B14&gt;B15/2,ROUND(B101*'New Hire'!C61,0),0)</f>
        <v>195000</v>
      </c>
      <c r="C70" s="326">
        <f>IF(C14&gt;C15/2,ROUND(C101*'New Hire'!D61,0),0)</f>
        <v>157950</v>
      </c>
      <c r="D70" s="326">
        <f>IF(D14&gt;D15/2,ROUND(D101*'New Hire'!E61,0),0)</f>
        <v>273000</v>
      </c>
      <c r="E70" s="326">
        <f>IF(E14&gt;E15/2,ROUND(E101*'New Hire'!F61,0),0)</f>
        <v>270000</v>
      </c>
      <c r="F70" s="326">
        <f>IF(F14&gt;F15/2,ROUND(F101*'New Hire'!G61,0),0)</f>
        <v>0</v>
      </c>
      <c r="G70" s="326">
        <f>IF(G14&gt;G15/2,ROUND(G101*'New Hire'!H61,0),0)</f>
        <v>0</v>
      </c>
      <c r="H70" s="326">
        <f>IF(H14&gt;H15/2,ROUND(H101*'New Hire'!I61,0),0)</f>
        <v>834000</v>
      </c>
      <c r="I70" s="326">
        <f>IF(I14&gt;I15/2,ROUND(I101*'New Hire'!J61,0),0)</f>
        <v>834000</v>
      </c>
      <c r="J70" s="326">
        <f>IF(J14&gt;J15/2,ROUND(J101*'New Hire'!K61,0),0)</f>
        <v>834000</v>
      </c>
      <c r="K70" s="326">
        <f>IF(K14&gt;K15/2,ROUND(K101*'New Hire'!L61,0),0)</f>
        <v>0</v>
      </c>
      <c r="L70" s="326">
        <f>IF(L14&gt;L15/2,ROUND(L101*'New Hire'!M61,0),0)</f>
        <v>834000</v>
      </c>
      <c r="M70" s="326">
        <f>IF(M14&gt;M15/2,ROUND(M101*'New Hire'!N61,0),0)</f>
        <v>0</v>
      </c>
      <c r="N70" s="326">
        <f>IF(N14&gt;N15/2,ROUND(N101*'New Hire'!O61,0),0)</f>
        <v>0</v>
      </c>
      <c r="O70" s="326">
        <f>IF(O14&gt;O15/2,ROUND(O101*'New Hire'!P61,0),0)</f>
        <v>0</v>
      </c>
      <c r="P70" s="339">
        <f t="shared" si="17"/>
        <v>4231950</v>
      </c>
      <c r="Q70" s="341"/>
      <c r="R70" s="341"/>
      <c r="S70" s="341"/>
      <c r="T70" s="341"/>
      <c r="U70" s="341"/>
      <c r="V70" s="49" t="s">
        <v>0</v>
      </c>
      <c r="W70" s="39">
        <v>91999907</v>
      </c>
      <c r="X70" s="80" t="s">
        <v>602</v>
      </c>
      <c r="Y70" s="80" t="s">
        <v>602</v>
      </c>
      <c r="Z70" s="60">
        <v>7850</v>
      </c>
      <c r="AA70" s="326">
        <v>300</v>
      </c>
      <c r="AB70" s="80" t="s">
        <v>611</v>
      </c>
      <c r="AC70" s="11"/>
    </row>
    <row r="71" spans="1:29">
      <c r="A71" s="405" t="s">
        <v>1071</v>
      </c>
      <c r="B71" s="326">
        <f t="shared" ref="B71:O71" si="18">IF(B48+B68=0,0,ROUND(MIN(B101,29800000)*2%,0))</f>
        <v>130000</v>
      </c>
      <c r="C71" s="326">
        <f t="shared" si="18"/>
        <v>105300</v>
      </c>
      <c r="D71" s="326">
        <f t="shared" si="18"/>
        <v>182000</v>
      </c>
      <c r="E71" s="326">
        <f t="shared" si="18"/>
        <v>180000</v>
      </c>
      <c r="F71" s="326">
        <f t="shared" si="18"/>
        <v>0</v>
      </c>
      <c r="G71" s="326">
        <f t="shared" si="18"/>
        <v>0</v>
      </c>
      <c r="H71" s="326">
        <f t="shared" si="18"/>
        <v>556000</v>
      </c>
      <c r="I71" s="326">
        <f t="shared" si="18"/>
        <v>556000</v>
      </c>
      <c r="J71" s="326">
        <f t="shared" si="18"/>
        <v>556000</v>
      </c>
      <c r="K71" s="326">
        <f t="shared" si="18"/>
        <v>0</v>
      </c>
      <c r="L71" s="326">
        <f t="shared" si="18"/>
        <v>556000</v>
      </c>
      <c r="M71" s="326">
        <f t="shared" si="18"/>
        <v>0</v>
      </c>
      <c r="N71" s="326">
        <f t="shared" si="18"/>
        <v>0</v>
      </c>
      <c r="O71" s="326">
        <f t="shared" si="18"/>
        <v>0</v>
      </c>
      <c r="P71" s="339">
        <f t="shared" si="17"/>
        <v>2821300</v>
      </c>
      <c r="Q71" s="373"/>
      <c r="R71" s="373"/>
      <c r="S71" s="373"/>
      <c r="T71" s="373"/>
      <c r="U71" s="373"/>
      <c r="V71" s="49" t="s">
        <v>0</v>
      </c>
      <c r="W71" s="39">
        <v>91999903</v>
      </c>
      <c r="X71" s="80" t="s">
        <v>602</v>
      </c>
      <c r="Y71" s="80" t="s">
        <v>602</v>
      </c>
      <c r="Z71" s="60">
        <v>3150</v>
      </c>
      <c r="AA71" s="326">
        <v>3000000</v>
      </c>
      <c r="AB71" s="80"/>
      <c r="AC71" s="11"/>
    </row>
    <row r="72" spans="1:29">
      <c r="A72" s="442" t="s">
        <v>836</v>
      </c>
      <c r="B72" s="326"/>
      <c r="C72" s="326"/>
      <c r="D72" s="326"/>
      <c r="E72" s="326"/>
      <c r="F72" s="326"/>
      <c r="G72" s="326"/>
      <c r="H72" s="326"/>
      <c r="I72" s="362">
        <f>ROUND(AA36*B4,0)</f>
        <v>3480750</v>
      </c>
      <c r="J72" s="362"/>
      <c r="K72" s="362">
        <f>AA37</f>
        <v>4000000</v>
      </c>
      <c r="L72" s="326"/>
      <c r="M72" s="326"/>
      <c r="N72" s="326"/>
      <c r="O72" s="326"/>
      <c r="P72" s="339">
        <f t="shared" si="17"/>
        <v>7480750</v>
      </c>
      <c r="Q72" s="373"/>
      <c r="R72" s="373"/>
      <c r="S72" s="373"/>
      <c r="T72" s="373"/>
      <c r="U72" s="373"/>
      <c r="V72" s="49" t="s">
        <v>0</v>
      </c>
      <c r="W72" s="39">
        <v>91999907</v>
      </c>
      <c r="X72" s="80" t="s">
        <v>602</v>
      </c>
      <c r="Y72" s="80" t="s">
        <v>602</v>
      </c>
      <c r="Z72" s="60">
        <v>3150</v>
      </c>
      <c r="AA72" s="326">
        <v>350</v>
      </c>
      <c r="AB72" s="80" t="s">
        <v>1260</v>
      </c>
      <c r="AC72" s="11"/>
    </row>
    <row r="73" spans="1:29">
      <c r="A73" s="436" t="s">
        <v>510</v>
      </c>
      <c r="B73" s="326">
        <f>IF(OR(B18="A",B18="B"),B96,ROUND(B96*B13,0))</f>
        <v>679452</v>
      </c>
      <c r="C73" s="326">
        <f>IF(OR(C18="A",C18="B"),C96,ROUND(C96*C13,0))</f>
        <v>679452</v>
      </c>
      <c r="D73" s="326"/>
      <c r="E73" s="326">
        <f>IF(OR(E18="A",E18="B"),E96,ROUND(E96*E13,0))</f>
        <v>679452</v>
      </c>
      <c r="F73" s="326">
        <f>IF(OR(F18="A",F18="B"),F96,ROUND(F96*F13,0))</f>
        <v>679452</v>
      </c>
      <c r="G73" s="326"/>
      <c r="H73" s="326">
        <f>IF(OR(H18="A",H18="B"),H96,ROUND(H96*H13,0))</f>
        <v>339726</v>
      </c>
      <c r="I73" s="326"/>
      <c r="J73" s="326"/>
      <c r="K73" s="334"/>
      <c r="L73" s="334"/>
      <c r="M73" s="334"/>
      <c r="N73" s="334"/>
      <c r="O73" s="334"/>
      <c r="P73" s="339">
        <f t="shared" si="17"/>
        <v>3057534</v>
      </c>
      <c r="Q73" s="373"/>
      <c r="R73" s="373"/>
      <c r="S73" s="373"/>
      <c r="T73" s="373"/>
      <c r="U73" s="373"/>
      <c r="V73" s="32"/>
      <c r="W73" s="44"/>
      <c r="X73" s="13"/>
      <c r="Y73" s="13"/>
      <c r="Z73" s="13"/>
      <c r="AA73" s="356"/>
      <c r="AB73" s="13"/>
      <c r="AC73" s="18"/>
    </row>
    <row r="74" spans="1:29">
      <c r="A74" s="405"/>
      <c r="B74" s="325"/>
      <c r="C74" s="326"/>
      <c r="D74" s="326"/>
      <c r="E74" s="334"/>
      <c r="F74" s="326"/>
      <c r="G74" s="326"/>
      <c r="H74" s="326"/>
      <c r="I74" s="326"/>
      <c r="J74" s="326"/>
      <c r="K74" s="334"/>
      <c r="L74" s="334"/>
      <c r="M74" s="334"/>
      <c r="N74" s="334"/>
      <c r="O74" s="334"/>
      <c r="P74" s="339"/>
      <c r="Q74" s="373"/>
      <c r="R74" s="373"/>
      <c r="S74" s="373"/>
      <c r="T74" s="373"/>
      <c r="U74" s="373"/>
      <c r="V74" s="32"/>
      <c r="W74" s="44"/>
      <c r="X74" s="13"/>
      <c r="Y74" s="13"/>
      <c r="Z74" s="13"/>
      <c r="AA74" s="356"/>
      <c r="AB74" s="13"/>
      <c r="AC74" s="18"/>
    </row>
    <row r="75" spans="1:29" ht="15.6">
      <c r="A75" s="404" t="s">
        <v>474</v>
      </c>
      <c r="B75" s="325"/>
      <c r="C75" s="326"/>
      <c r="D75" s="326"/>
      <c r="E75" s="334"/>
      <c r="F75" s="326"/>
      <c r="G75" s="326"/>
      <c r="H75" s="326"/>
      <c r="I75" s="326"/>
      <c r="J75" s="326"/>
      <c r="K75" s="334"/>
      <c r="L75" s="334"/>
      <c r="M75" s="334"/>
      <c r="N75" s="334"/>
      <c r="O75" s="334"/>
      <c r="P75" s="339"/>
      <c r="Q75" s="373"/>
      <c r="R75" s="373"/>
      <c r="S75" s="373"/>
      <c r="T75" s="373"/>
      <c r="U75" s="373"/>
      <c r="V75" s="42"/>
      <c r="W75" s="43"/>
      <c r="X75" s="13"/>
      <c r="Y75" s="13"/>
      <c r="Z75" s="61"/>
      <c r="AA75" s="356"/>
      <c r="AB75" s="13"/>
      <c r="AC75" s="18"/>
    </row>
    <row r="76" spans="1:29">
      <c r="A76" s="436" t="s">
        <v>475</v>
      </c>
      <c r="B76" s="326">
        <f>IF(AND(OR(B11="1",B11="P"),'New Hire'!C28="Local"),ROUND(ROUND(B142*B13,0)*B14/261,0))+'UAT2-Feb'!B71</f>
        <v>1226054</v>
      </c>
      <c r="C76" s="326">
        <f>IF(AND(OR(C11="1",C11="P"),'New Hire'!D28="Local"),ROUND(ROUND(C142*C13,0)*C14/261,0))+'UAT2-Feb'!C71</f>
        <v>993104</v>
      </c>
      <c r="D76" s="326">
        <f>IF(AND(OR(D11="1",D11="P"),'New Hire'!E28="Local"),ROUND(ROUND(D142*D13,0)*D14/261,0))+'UAT2-Feb'!D71</f>
        <v>0</v>
      </c>
      <c r="E76" s="326">
        <f>IF(AND(OR(E11="1",E11="P"),'New Hire'!F28="Local"),ROUND(ROUND(E142*E13,0)*E14/261,0))+'UAT2-Feb'!E71</f>
        <v>0</v>
      </c>
      <c r="F76" s="326">
        <f>IF(AND(OR(F11="1",F11="P"),'New Hire'!G28="Local"),ROUND(ROUND(F142*F13,0)*F14/261,0))+'UAT2-Feb'!F71</f>
        <v>0</v>
      </c>
      <c r="G76" s="326">
        <f>IF(AND(OR(G11="1",G11="P"),'New Hire'!H28="Local"),ROUND(ROUND(G142*G13,0)*G14/261,0))+'UAT2-Feb'!G71</f>
        <v>0</v>
      </c>
      <c r="H76" s="326">
        <f>IF(AND(OR(H11="1",H11="P"),'New Hire'!I28="Local"),ROUND(ROUND(H142*H13,0)*H14/261,0))+'UAT2-Feb'!H71</f>
        <v>0</v>
      </c>
      <c r="I76" s="326">
        <f>IF(AND(OR(I11="1",I11="P"),'New Hire'!J28="Local"),ROUND(ROUND(I142*I13,0)*I14/261,0))+'UAT2-Feb'!I71</f>
        <v>0</v>
      </c>
      <c r="J76" s="326">
        <f>IF(AND(OR(J11="1",J11="P"),'New Hire'!K28="Local"),ROUND(J142*J13*J14/261,0))+'UAT2-Feb'!J71</f>
        <v>5057474</v>
      </c>
      <c r="K76" s="326">
        <f>IF(AND(OR(K11="1",K11="P"),'New Hire'!L28="Local"),ROUND(K142*K93,0),0)+'UAT2-Feb'!K71</f>
        <v>1961686</v>
      </c>
      <c r="L76" s="326">
        <f>IF(AND(OR(L11="1",L11="P"),'New Hire'!M28="Local"),ROUND(L142*L93,0),0)+'UAT2-Feb'!L71</f>
        <v>22068972</v>
      </c>
      <c r="M76" s="326">
        <f>IF(AND(OR(M11="1",M11="P"),'New Hire'!N28="Local"),ROUND(M142*M93,0),0)+'UAT2-Feb'!M71</f>
        <v>0</v>
      </c>
      <c r="N76" s="326">
        <f>IF(AND(OR(N11="1",N11="P"),'New Hire'!O28="Local"),ROUND(N142*N93,0),0)+'UAT2-Feb'!N71</f>
        <v>0</v>
      </c>
      <c r="O76" s="326">
        <f>IF(AND(OR(O11="1",O11="P"),'New Hire'!P28="Local"),ROUND(O142*O93,0),0)+'UAT2-Feb'!O71</f>
        <v>0</v>
      </c>
      <c r="P76" s="339">
        <f>SUM(B76:O76)</f>
        <v>31307290</v>
      </c>
      <c r="Q76" s="373"/>
      <c r="R76" s="373"/>
      <c r="S76" s="373"/>
      <c r="T76" s="373"/>
      <c r="U76" s="373"/>
      <c r="V76" s="24" t="s">
        <v>57</v>
      </c>
      <c r="W76" s="37" t="s">
        <v>67</v>
      </c>
      <c r="X76" s="37" t="s">
        <v>69</v>
      </c>
      <c r="Y76" s="37" t="s">
        <v>70</v>
      </c>
      <c r="Z76" s="62" t="s">
        <v>424</v>
      </c>
      <c r="AA76" s="357" t="s">
        <v>425</v>
      </c>
      <c r="AB76" s="37" t="s">
        <v>56</v>
      </c>
      <c r="AC76" s="38"/>
    </row>
    <row r="77" spans="1:29">
      <c r="A77" s="436" t="s">
        <v>482</v>
      </c>
      <c r="B77" s="584"/>
      <c r="C77" s="584">
        <f>'UAT2-Feb'!C72</f>
        <v>2.5</v>
      </c>
      <c r="D77" s="584"/>
      <c r="E77" s="584"/>
      <c r="F77" s="584"/>
      <c r="G77" s="584"/>
      <c r="H77" s="584">
        <f>CEILING(ROUND(('UAT1-Jan'!AB70+'UAT1-Jan'!H14+'UAT2-Feb'!H14+H14)/261,2),0.5)</f>
        <v>5</v>
      </c>
      <c r="I77" s="584">
        <f>CEILING(ROUND(('UAT1-Jan'!I14+'UAT2-Feb'!I14+I14)/261,2),0.5)</f>
        <v>0.5</v>
      </c>
      <c r="J77" s="584"/>
      <c r="K77" s="584"/>
      <c r="L77" s="584"/>
      <c r="M77" s="584"/>
      <c r="N77" s="584">
        <f>'UAT2-Feb'!N72</f>
        <v>1.5</v>
      </c>
      <c r="O77" s="584"/>
      <c r="P77" s="654">
        <f>SUM(B77:O77)</f>
        <v>9.5</v>
      </c>
      <c r="Q77" s="373"/>
      <c r="R77" s="373"/>
      <c r="S77" s="373"/>
      <c r="T77" s="373"/>
      <c r="U77" s="373"/>
      <c r="V77" s="49" t="s">
        <v>423</v>
      </c>
      <c r="W77" s="347">
        <v>91999906</v>
      </c>
      <c r="X77" s="283" t="s">
        <v>681</v>
      </c>
      <c r="Y77" s="283" t="s">
        <v>681</v>
      </c>
      <c r="Z77" s="286">
        <v>0.375</v>
      </c>
      <c r="AA77" s="286">
        <v>0.47916666666666669</v>
      </c>
      <c r="AB77" s="284">
        <v>9180</v>
      </c>
      <c r="AC77" s="467">
        <v>2.5</v>
      </c>
    </row>
    <row r="78" spans="1:29">
      <c r="A78" s="436" t="s">
        <v>581</v>
      </c>
      <c r="B78" s="326">
        <f>B103+'UAT2-Feb'!B73</f>
        <v>27100000</v>
      </c>
      <c r="C78" s="326">
        <f>C103+'UAT2-Feb'!C73</f>
        <v>23949000</v>
      </c>
      <c r="D78" s="326">
        <f>D103+'UAT2-Feb'!D73</f>
        <v>33396957</v>
      </c>
      <c r="E78" s="326">
        <f>E103+'UAT2-Feb'!E73</f>
        <v>30600000</v>
      </c>
      <c r="F78" s="326">
        <f>F103+'UAT2-Feb'!F73</f>
        <v>36480000</v>
      </c>
      <c r="G78" s="326">
        <f>G103+'UAT2-Feb'!G73</f>
        <v>0</v>
      </c>
      <c r="H78" s="326">
        <f>H103+'UAT2-Feb'!H73</f>
        <v>213486000</v>
      </c>
      <c r="I78" s="326">
        <f>I103+'UAT2-Feb'!I73</f>
        <v>199621012</v>
      </c>
      <c r="J78" s="326">
        <f>J103+'UAT2-Feb'!J73</f>
        <v>117000000</v>
      </c>
      <c r="K78" s="326">
        <f>K103+'UAT2-Feb'!K73</f>
        <v>32660000</v>
      </c>
      <c r="L78" s="326">
        <f>L103+'UAT2-Feb'!L73</f>
        <v>270000000</v>
      </c>
      <c r="M78" s="326">
        <f>M103+'UAT2-Feb'!M73</f>
        <v>22500000</v>
      </c>
      <c r="N78" s="326">
        <f>N103+'UAT2-Feb'!N73</f>
        <v>27000000</v>
      </c>
      <c r="O78" s="326">
        <f>O103+'UAT2-Feb'!O73</f>
        <v>0</v>
      </c>
      <c r="P78" s="339">
        <f>SUM(B78:O78)</f>
        <v>1033792969</v>
      </c>
      <c r="Q78" s="373"/>
      <c r="R78" s="373"/>
      <c r="S78" s="373"/>
      <c r="T78" s="373"/>
      <c r="U78" s="373"/>
      <c r="V78" s="49" t="s">
        <v>422</v>
      </c>
      <c r="W78" s="347">
        <v>91999906</v>
      </c>
      <c r="X78" s="283" t="s">
        <v>682</v>
      </c>
      <c r="Y78" s="283" t="s">
        <v>682</v>
      </c>
      <c r="Z78" s="286">
        <v>0.375</v>
      </c>
      <c r="AA78" s="286">
        <v>0.47916666666666669</v>
      </c>
      <c r="AB78" s="284">
        <v>9180</v>
      </c>
      <c r="AC78" s="467">
        <v>2.5</v>
      </c>
    </row>
    <row r="79" spans="1:29">
      <c r="A79" s="405"/>
      <c r="B79" s="325"/>
      <c r="C79" s="326"/>
      <c r="D79" s="326"/>
      <c r="E79" s="334"/>
      <c r="F79" s="326"/>
      <c r="G79" s="326"/>
      <c r="H79" s="326"/>
      <c r="I79" s="326"/>
      <c r="J79" s="326"/>
      <c r="K79" s="334"/>
      <c r="L79" s="334"/>
      <c r="M79" s="334"/>
      <c r="N79" s="334"/>
      <c r="O79" s="334"/>
      <c r="P79" s="339"/>
      <c r="Q79" s="373"/>
      <c r="R79" s="373"/>
      <c r="S79" s="373"/>
      <c r="T79" s="373"/>
      <c r="U79" s="373"/>
      <c r="V79" s="49" t="s">
        <v>422</v>
      </c>
      <c r="W79" s="347">
        <v>91999914</v>
      </c>
      <c r="X79" s="283" t="s">
        <v>683</v>
      </c>
      <c r="Y79" s="283" t="s">
        <v>683</v>
      </c>
      <c r="Z79" s="286">
        <v>0.375</v>
      </c>
      <c r="AA79" s="286">
        <v>0.47916666666666669</v>
      </c>
      <c r="AB79" s="284">
        <v>9180</v>
      </c>
      <c r="AC79" s="467">
        <v>2.5</v>
      </c>
    </row>
    <row r="80" spans="1:29" ht="15.6">
      <c r="A80" s="404" t="s">
        <v>835</v>
      </c>
      <c r="B80" s="468"/>
      <c r="C80" s="468"/>
      <c r="D80" s="468"/>
      <c r="E80" s="468"/>
      <c r="F80" s="468"/>
      <c r="G80" s="468"/>
      <c r="H80" s="468"/>
      <c r="I80" s="468"/>
      <c r="J80" s="559"/>
      <c r="K80" s="468"/>
      <c r="L80" s="468"/>
      <c r="M80" s="468"/>
      <c r="N80" s="468"/>
      <c r="O80" s="468"/>
      <c r="P80" s="339"/>
      <c r="Q80" s="373"/>
      <c r="R80" s="373"/>
      <c r="S80" s="373"/>
      <c r="T80" s="373"/>
      <c r="U80" s="373"/>
      <c r="V80" s="49" t="s">
        <v>422</v>
      </c>
      <c r="W80" s="347">
        <v>91999914</v>
      </c>
      <c r="X80" s="283" t="s">
        <v>684</v>
      </c>
      <c r="Y80" s="283" t="s">
        <v>684</v>
      </c>
      <c r="Z80" s="286">
        <v>0.375</v>
      </c>
      <c r="AA80" s="286">
        <v>0.47916666666666669</v>
      </c>
      <c r="AB80" s="284">
        <v>9180</v>
      </c>
      <c r="AC80" s="467">
        <v>2.5</v>
      </c>
    </row>
    <row r="81" spans="1:29">
      <c r="A81" s="462" t="s">
        <v>1120</v>
      </c>
      <c r="B81" s="334">
        <f t="shared" ref="B81:O81" si="19">ROUND((B116+B117)*B89,0)</f>
        <v>0</v>
      </c>
      <c r="C81" s="334">
        <f t="shared" si="19"/>
        <v>0</v>
      </c>
      <c r="D81" s="334">
        <f t="shared" si="19"/>
        <v>0</v>
      </c>
      <c r="E81" s="334">
        <f t="shared" si="19"/>
        <v>0</v>
      </c>
      <c r="F81" s="334">
        <f t="shared" si="19"/>
        <v>0</v>
      </c>
      <c r="G81" s="334">
        <f t="shared" si="19"/>
        <v>0</v>
      </c>
      <c r="H81" s="334">
        <f t="shared" si="19"/>
        <v>0</v>
      </c>
      <c r="I81" s="334">
        <f t="shared" si="19"/>
        <v>0</v>
      </c>
      <c r="J81" s="334">
        <f t="shared" si="19"/>
        <v>0</v>
      </c>
      <c r="K81" s="334">
        <f t="shared" si="19"/>
        <v>0</v>
      </c>
      <c r="L81" s="334">
        <f t="shared" si="19"/>
        <v>0</v>
      </c>
      <c r="M81" s="334">
        <f t="shared" si="19"/>
        <v>0</v>
      </c>
      <c r="N81" s="334">
        <f t="shared" si="19"/>
        <v>0</v>
      </c>
      <c r="O81" s="334">
        <f t="shared" si="19"/>
        <v>0</v>
      </c>
      <c r="P81" s="339">
        <f>SUM(B81:O81)</f>
        <v>0</v>
      </c>
      <c r="Q81" s="335"/>
      <c r="R81" s="335"/>
      <c r="S81" s="335"/>
      <c r="T81" s="335"/>
      <c r="U81" s="335"/>
      <c r="V81" s="49" t="s">
        <v>422</v>
      </c>
      <c r="W81" s="39"/>
      <c r="X81" s="348"/>
      <c r="Y81" s="348"/>
      <c r="Z81" s="286"/>
      <c r="AA81" s="358"/>
      <c r="AB81" s="284"/>
      <c r="AC81" s="12"/>
    </row>
    <row r="82" spans="1:29">
      <c r="A82" s="462" t="s">
        <v>832</v>
      </c>
      <c r="B82" s="334">
        <f t="shared" ref="B82:O82" si="20">B114*B89</f>
        <v>6000000</v>
      </c>
      <c r="C82" s="334">
        <f t="shared" si="20"/>
        <v>4860000</v>
      </c>
      <c r="D82" s="334">
        <f t="shared" si="20"/>
        <v>8238825</v>
      </c>
      <c r="E82" s="334">
        <f t="shared" si="20"/>
        <v>8307680</v>
      </c>
      <c r="F82" s="334">
        <f t="shared" si="20"/>
        <v>10338432</v>
      </c>
      <c r="G82" s="334">
        <f t="shared" si="20"/>
        <v>0</v>
      </c>
      <c r="H82" s="334">
        <f t="shared" si="20"/>
        <v>66402000</v>
      </c>
      <c r="I82" s="334">
        <f t="shared" si="20"/>
        <v>0</v>
      </c>
      <c r="J82" s="334">
        <f t="shared" si="20"/>
        <v>33240000</v>
      </c>
      <c r="K82" s="334">
        <f t="shared" si="20"/>
        <v>9600000</v>
      </c>
      <c r="L82" s="334">
        <f t="shared" si="20"/>
        <v>83076960</v>
      </c>
      <c r="M82" s="334">
        <f t="shared" si="20"/>
        <v>6923040</v>
      </c>
      <c r="N82" s="334">
        <f t="shared" si="20"/>
        <v>8307680</v>
      </c>
      <c r="O82" s="334">
        <f t="shared" si="20"/>
        <v>0</v>
      </c>
      <c r="P82" s="339">
        <f>SUM(B82:O82)</f>
        <v>245294617</v>
      </c>
      <c r="Q82" s="335"/>
      <c r="R82" s="335"/>
      <c r="S82" s="335"/>
      <c r="T82" s="335"/>
      <c r="U82" s="335"/>
      <c r="V82" s="33"/>
      <c r="W82" s="45"/>
      <c r="X82" s="13"/>
      <c r="Y82" s="13"/>
      <c r="Z82" s="13"/>
      <c r="AA82" s="13"/>
      <c r="AB82" s="13"/>
      <c r="AC82" s="18"/>
    </row>
    <row r="83" spans="1:29">
      <c r="A83" s="462" t="s">
        <v>833</v>
      </c>
      <c r="B83" s="334">
        <v>0</v>
      </c>
      <c r="C83" s="334"/>
      <c r="D83" s="334"/>
      <c r="E83" s="334"/>
      <c r="F83" s="334"/>
      <c r="G83" s="334"/>
      <c r="H83" s="334">
        <v>0</v>
      </c>
      <c r="I83" s="334"/>
      <c r="J83" s="444"/>
      <c r="K83" s="334"/>
      <c r="L83" s="334"/>
      <c r="M83" s="334"/>
      <c r="N83" s="334"/>
      <c r="O83" s="334"/>
      <c r="P83" s="339">
        <f>SUM(B83:O83)</f>
        <v>0</v>
      </c>
      <c r="Q83" s="335"/>
      <c r="R83" s="335"/>
      <c r="S83" s="335"/>
      <c r="T83" s="335"/>
      <c r="U83" s="335"/>
      <c r="V83" s="33"/>
      <c r="W83" s="45"/>
      <c r="X83" s="13"/>
      <c r="Y83" s="13"/>
      <c r="Z83" s="13"/>
      <c r="AA83" s="13"/>
      <c r="AB83" s="13"/>
      <c r="AC83" s="18"/>
    </row>
    <row r="84" spans="1:29">
      <c r="A84" s="462" t="s">
        <v>1229</v>
      </c>
      <c r="B84" s="334">
        <f>(ROUND(ROUND(ROUND(ROUND((B142+B133+B134)*B13,0)*12*B15*AB33,0)/261,0)/10,0)+'UAT2-Feb'!B79)*-1</f>
        <v>-1388616</v>
      </c>
      <c r="C84" s="334"/>
      <c r="D84" s="334"/>
      <c r="E84" s="334"/>
      <c r="F84" s="334"/>
      <c r="G84" s="334"/>
      <c r="H84" s="334">
        <f>(ROUND(ROUND(ROUND(ROUND((H142+H133+H134)*H13,0)*12*H15*AB34,0)/261,0)/10,0)+'UAT2-Feb'!H79)*-1</f>
        <v>-8412266</v>
      </c>
      <c r="I84" s="334"/>
      <c r="J84" s="444"/>
      <c r="K84" s="334"/>
      <c r="L84" s="334"/>
      <c r="M84" s="334"/>
      <c r="N84" s="334"/>
      <c r="O84" s="334"/>
      <c r="P84" s="339">
        <f>SUM(B84:O84)</f>
        <v>-9800882</v>
      </c>
      <c r="Q84" s="335"/>
      <c r="R84" s="335"/>
      <c r="S84" s="335"/>
      <c r="T84" s="335"/>
      <c r="U84" s="335"/>
      <c r="V84" s="33"/>
      <c r="W84" s="45"/>
      <c r="X84" s="13"/>
      <c r="Y84" s="13"/>
      <c r="Z84" s="13"/>
      <c r="AA84" s="13"/>
      <c r="AB84" s="13"/>
      <c r="AC84" s="18"/>
    </row>
    <row r="85" spans="1:29">
      <c r="A85" s="462" t="s">
        <v>834</v>
      </c>
      <c r="B85" s="334"/>
      <c r="C85" s="334">
        <f>ROUND(ROUND(C142*C13,0)*C77*50%,0)</f>
        <v>5062500</v>
      </c>
      <c r="D85" s="334"/>
      <c r="E85" s="334"/>
      <c r="F85" s="334"/>
      <c r="G85" s="334"/>
      <c r="H85" s="334">
        <f>ROUND(ROUND(H142*H13,0)*H77*50%,0)</f>
        <v>127627500</v>
      </c>
      <c r="I85" s="334"/>
      <c r="J85" s="334"/>
      <c r="K85" s="334"/>
      <c r="L85" s="334"/>
      <c r="M85" s="334"/>
      <c r="N85" s="334">
        <f>ROUND(ROUND(N142*N13,0)*N77*50%,0)</f>
        <v>4875000</v>
      </c>
      <c r="O85" s="334"/>
      <c r="P85" s="339">
        <f>SUM(B85:O85)</f>
        <v>137565000</v>
      </c>
      <c r="Q85" s="341"/>
      <c r="R85" s="341"/>
      <c r="S85" s="341"/>
      <c r="T85" s="341"/>
      <c r="U85" s="341"/>
      <c r="V85" s="32"/>
      <c r="W85" s="44"/>
      <c r="X85" s="13"/>
      <c r="Y85" s="13"/>
      <c r="Z85" s="13"/>
      <c r="AA85" s="13"/>
      <c r="AB85" s="13"/>
      <c r="AC85" s="18"/>
    </row>
    <row r="86" spans="1:29">
      <c r="A86" s="462"/>
      <c r="B86" s="468"/>
      <c r="C86" s="468"/>
      <c r="D86" s="468"/>
      <c r="E86" s="468"/>
      <c r="F86" s="468"/>
      <c r="G86" s="468"/>
      <c r="H86" s="468"/>
      <c r="I86" s="468"/>
      <c r="J86" s="559"/>
      <c r="K86" s="468"/>
      <c r="L86" s="468"/>
      <c r="M86" s="468"/>
      <c r="N86" s="468"/>
      <c r="O86" s="468"/>
      <c r="P86" s="339"/>
      <c r="Q86" s="341"/>
      <c r="R86" s="341"/>
      <c r="S86" s="341"/>
      <c r="T86" s="341"/>
      <c r="U86" s="341"/>
      <c r="V86" s="34"/>
      <c r="W86" s="46"/>
      <c r="X86" s="35"/>
      <c r="Y86" s="35"/>
      <c r="Z86" s="35"/>
      <c r="AA86" s="35"/>
      <c r="AB86" s="35"/>
      <c r="AC86" s="36"/>
    </row>
    <row r="87" spans="1:29" ht="15.6">
      <c r="A87" s="404" t="s">
        <v>483</v>
      </c>
      <c r="B87" s="325"/>
      <c r="C87" s="326"/>
      <c r="D87" s="326"/>
      <c r="E87" s="334"/>
      <c r="F87" s="326"/>
      <c r="G87" s="326"/>
      <c r="H87" s="326"/>
      <c r="I87" s="326"/>
      <c r="J87" s="326"/>
      <c r="K87" s="334"/>
      <c r="L87" s="334"/>
      <c r="M87" s="334"/>
      <c r="N87" s="334"/>
      <c r="O87" s="334"/>
      <c r="P87" s="339"/>
      <c r="Q87" s="341"/>
      <c r="R87" s="341"/>
      <c r="S87" s="341"/>
      <c r="T87" s="341"/>
      <c r="U87" s="341"/>
    </row>
    <row r="88" spans="1:29">
      <c r="A88" s="436" t="s">
        <v>488</v>
      </c>
      <c r="B88" s="326">
        <f t="shared" ref="B88:O88" si="21">IF(B11&lt;&gt;"C",ROUND(B141*12/52/40,0),0)</f>
        <v>28846</v>
      </c>
      <c r="C88" s="326">
        <f t="shared" si="21"/>
        <v>25962</v>
      </c>
      <c r="D88" s="326">
        <f t="shared" si="21"/>
        <v>40385</v>
      </c>
      <c r="E88" s="326">
        <f t="shared" si="21"/>
        <v>51923</v>
      </c>
      <c r="F88" s="326">
        <f t="shared" si="21"/>
        <v>80769</v>
      </c>
      <c r="G88" s="326">
        <f t="shared" si="21"/>
        <v>0</v>
      </c>
      <c r="H88" s="326">
        <f t="shared" si="21"/>
        <v>629213</v>
      </c>
      <c r="I88" s="326">
        <f t="shared" si="21"/>
        <v>495338</v>
      </c>
      <c r="J88" s="326">
        <f t="shared" si="21"/>
        <v>288462</v>
      </c>
      <c r="K88" s="326">
        <f t="shared" si="21"/>
        <v>46154</v>
      </c>
      <c r="L88" s="326">
        <f t="shared" si="21"/>
        <v>519231</v>
      </c>
      <c r="M88" s="326">
        <f t="shared" si="21"/>
        <v>28846</v>
      </c>
      <c r="N88" s="326">
        <f t="shared" si="21"/>
        <v>37500</v>
      </c>
      <c r="O88" s="326">
        <f t="shared" si="21"/>
        <v>0</v>
      </c>
      <c r="P88" s="339">
        <f t="shared" ref="P88:P97" si="22">SUM(B88:O88)</f>
        <v>2272629</v>
      </c>
      <c r="Q88" s="341"/>
      <c r="R88" s="341"/>
      <c r="S88" s="341"/>
      <c r="T88" s="341"/>
      <c r="U88" s="341"/>
      <c r="V88"/>
      <c r="W88"/>
      <c r="X88"/>
      <c r="Y88"/>
      <c r="Z88"/>
      <c r="AA88"/>
      <c r="AB88"/>
      <c r="AC88"/>
    </row>
    <row r="89" spans="1:29">
      <c r="A89" s="436" t="s">
        <v>499</v>
      </c>
      <c r="B89" s="326">
        <f t="shared" ref="B89:O89" si="23">IF(B11&lt;&gt;"C",ROUND(SUM(B141,B129:B130,B132)*12/52/40,0),0)</f>
        <v>37500</v>
      </c>
      <c r="C89" s="326">
        <f t="shared" si="23"/>
        <v>33750</v>
      </c>
      <c r="D89" s="326">
        <f t="shared" si="23"/>
        <v>52500</v>
      </c>
      <c r="E89" s="326">
        <f t="shared" si="23"/>
        <v>51923</v>
      </c>
      <c r="F89" s="326">
        <f t="shared" si="23"/>
        <v>80769</v>
      </c>
      <c r="G89" s="326">
        <f t="shared" si="23"/>
        <v>0</v>
      </c>
      <c r="H89" s="326">
        <f t="shared" si="23"/>
        <v>830025</v>
      </c>
      <c r="I89" s="326">
        <f t="shared" si="23"/>
        <v>495338</v>
      </c>
      <c r="J89" s="326">
        <f t="shared" si="23"/>
        <v>375000</v>
      </c>
      <c r="K89" s="326">
        <f t="shared" si="23"/>
        <v>60000</v>
      </c>
      <c r="L89" s="326">
        <f t="shared" si="23"/>
        <v>519231</v>
      </c>
      <c r="M89" s="326">
        <f t="shared" si="23"/>
        <v>43269</v>
      </c>
      <c r="N89" s="326">
        <f t="shared" si="23"/>
        <v>51923</v>
      </c>
      <c r="O89" s="326">
        <f t="shared" si="23"/>
        <v>0</v>
      </c>
      <c r="P89" s="339">
        <f t="shared" si="22"/>
        <v>2631228</v>
      </c>
      <c r="Q89" s="341"/>
      <c r="R89" s="341"/>
      <c r="S89" s="341"/>
      <c r="T89" s="341"/>
      <c r="U89" s="341"/>
      <c r="V89"/>
      <c r="W89"/>
      <c r="X89"/>
      <c r="Y89"/>
      <c r="Z89"/>
      <c r="AA89"/>
      <c r="AB89"/>
      <c r="AC89"/>
    </row>
    <row r="90" spans="1:29">
      <c r="A90" s="436" t="s">
        <v>500</v>
      </c>
      <c r="B90" s="326">
        <f t="shared" ref="B90:O90" si="24">ROUND(B141/B15,0)</f>
        <v>238095</v>
      </c>
      <c r="C90" s="326">
        <f t="shared" si="24"/>
        <v>214286</v>
      </c>
      <c r="D90" s="326">
        <f t="shared" si="24"/>
        <v>333333</v>
      </c>
      <c r="E90" s="326">
        <f t="shared" si="24"/>
        <v>428571</v>
      </c>
      <c r="F90" s="326">
        <f t="shared" si="24"/>
        <v>666667</v>
      </c>
      <c r="G90" s="326">
        <f t="shared" si="24"/>
        <v>0</v>
      </c>
      <c r="H90" s="326">
        <f t="shared" si="24"/>
        <v>5193500</v>
      </c>
      <c r="I90" s="326">
        <f t="shared" si="24"/>
        <v>4088500</v>
      </c>
      <c r="J90" s="326">
        <f t="shared" si="24"/>
        <v>2380952</v>
      </c>
      <c r="K90" s="326">
        <f t="shared" si="24"/>
        <v>380952</v>
      </c>
      <c r="L90" s="326">
        <f t="shared" si="24"/>
        <v>4285714</v>
      </c>
      <c r="M90" s="326">
        <f t="shared" si="24"/>
        <v>238095</v>
      </c>
      <c r="N90" s="326">
        <f t="shared" si="24"/>
        <v>309524</v>
      </c>
      <c r="O90" s="326">
        <f t="shared" si="24"/>
        <v>0</v>
      </c>
      <c r="P90" s="339">
        <f t="shared" si="22"/>
        <v>18758189</v>
      </c>
      <c r="Q90" s="341"/>
      <c r="R90" s="341"/>
      <c r="S90" s="341"/>
      <c r="T90" s="341"/>
      <c r="U90" s="341"/>
      <c r="V90"/>
      <c r="W90"/>
      <c r="X90"/>
      <c r="Y90"/>
      <c r="Z90"/>
      <c r="AA90"/>
      <c r="AB90"/>
      <c r="AC90"/>
    </row>
    <row r="91" spans="1:29">
      <c r="A91" s="436" t="s">
        <v>621</v>
      </c>
      <c r="B91" s="326">
        <f t="shared" ref="B91:O91" si="25">ROUND(SUM(B129:B131,B133:B135)/B15,0)</f>
        <v>71429</v>
      </c>
      <c r="C91" s="326">
        <f t="shared" si="25"/>
        <v>64286</v>
      </c>
      <c r="D91" s="326">
        <f t="shared" si="25"/>
        <v>100000</v>
      </c>
      <c r="E91" s="326">
        <f t="shared" si="25"/>
        <v>0</v>
      </c>
      <c r="F91" s="326">
        <f t="shared" si="25"/>
        <v>0</v>
      </c>
      <c r="G91" s="326">
        <f t="shared" si="25"/>
        <v>0</v>
      </c>
      <c r="H91" s="326">
        <f t="shared" si="25"/>
        <v>1657500</v>
      </c>
      <c r="I91" s="326">
        <f t="shared" si="25"/>
        <v>0</v>
      </c>
      <c r="J91" s="326">
        <f t="shared" si="25"/>
        <v>714286</v>
      </c>
      <c r="K91" s="326">
        <f t="shared" si="25"/>
        <v>114286</v>
      </c>
      <c r="L91" s="326">
        <f t="shared" si="25"/>
        <v>0</v>
      </c>
      <c r="M91" s="326">
        <f t="shared" si="25"/>
        <v>119048</v>
      </c>
      <c r="N91" s="326">
        <f t="shared" si="25"/>
        <v>119048</v>
      </c>
      <c r="O91" s="326">
        <f t="shared" si="25"/>
        <v>0</v>
      </c>
      <c r="P91" s="339">
        <f t="shared" si="22"/>
        <v>2959883</v>
      </c>
      <c r="Q91" s="342"/>
      <c r="R91" s="342"/>
      <c r="S91" s="342"/>
      <c r="T91" s="342"/>
      <c r="U91" s="342"/>
      <c r="V91"/>
      <c r="W91"/>
      <c r="X91"/>
      <c r="Y91"/>
      <c r="Z91"/>
      <c r="AA91"/>
      <c r="AB91"/>
      <c r="AC91"/>
    </row>
    <row r="92" spans="1:29">
      <c r="A92" s="436" t="s">
        <v>501</v>
      </c>
      <c r="B92" s="631">
        <f t="shared" ref="B92:O92" si="26">ROUND(B14*B13/B15,7)</f>
        <v>1</v>
      </c>
      <c r="C92" s="631">
        <f t="shared" si="26"/>
        <v>0.9</v>
      </c>
      <c r="D92" s="631">
        <f t="shared" si="26"/>
        <v>1</v>
      </c>
      <c r="E92" s="631">
        <f t="shared" si="26"/>
        <v>1</v>
      </c>
      <c r="F92" s="631">
        <f t="shared" si="26"/>
        <v>0.8</v>
      </c>
      <c r="G92" s="631">
        <f t="shared" si="26"/>
        <v>1</v>
      </c>
      <c r="H92" s="631">
        <f t="shared" si="26"/>
        <v>0.5</v>
      </c>
      <c r="I92" s="631">
        <f t="shared" si="26"/>
        <v>0.75</v>
      </c>
      <c r="J92" s="631">
        <f t="shared" si="26"/>
        <v>0.6</v>
      </c>
      <c r="K92" s="631">
        <f t="shared" si="26"/>
        <v>1</v>
      </c>
      <c r="L92" s="631">
        <f t="shared" si="26"/>
        <v>1</v>
      </c>
      <c r="M92" s="631">
        <f t="shared" si="26"/>
        <v>1</v>
      </c>
      <c r="N92" s="631">
        <f t="shared" si="26"/>
        <v>1</v>
      </c>
      <c r="O92" s="631">
        <f t="shared" si="26"/>
        <v>1</v>
      </c>
      <c r="P92" s="339"/>
      <c r="Q92" s="341"/>
      <c r="R92" s="341"/>
      <c r="S92" s="341"/>
      <c r="T92" s="341"/>
      <c r="U92" s="341"/>
      <c r="V92"/>
      <c r="W92"/>
      <c r="X92"/>
      <c r="Y92"/>
      <c r="Z92"/>
      <c r="AA92"/>
      <c r="AB92"/>
      <c r="AC92"/>
    </row>
    <row r="93" spans="1:29">
      <c r="A93" s="436" t="s">
        <v>502</v>
      </c>
      <c r="B93" s="631">
        <f t="shared" ref="B93:O93" si="27">ROUND((B14-B136)*B13/261,7)</f>
        <v>8.0459799999999998E-2</v>
      </c>
      <c r="C93" s="631">
        <f t="shared" si="27"/>
        <v>7.24138E-2</v>
      </c>
      <c r="D93" s="631">
        <f t="shared" si="27"/>
        <v>8.0459799999999998E-2</v>
      </c>
      <c r="E93" s="631">
        <f t="shared" si="27"/>
        <v>8.0459799999999998E-2</v>
      </c>
      <c r="F93" s="631">
        <f t="shared" si="27"/>
        <v>6.4367800000000003E-2</v>
      </c>
      <c r="G93" s="631">
        <f t="shared" si="27"/>
        <v>8.0459799999999998E-2</v>
      </c>
      <c r="H93" s="631">
        <f t="shared" si="27"/>
        <v>4.0229899999999999E-2</v>
      </c>
      <c r="I93" s="631">
        <f t="shared" si="27"/>
        <v>6.0344799999999997E-2</v>
      </c>
      <c r="J93" s="631">
        <f t="shared" si="27"/>
        <v>4.8275899999999997E-2</v>
      </c>
      <c r="K93" s="631">
        <f t="shared" si="27"/>
        <v>8.0459799999999998E-2</v>
      </c>
      <c r="L93" s="631">
        <f t="shared" si="27"/>
        <v>8.0459799999999998E-2</v>
      </c>
      <c r="M93" s="631">
        <f t="shared" si="27"/>
        <v>8.0459799999999998E-2</v>
      </c>
      <c r="N93" s="631">
        <f t="shared" si="27"/>
        <v>8.0459799999999998E-2</v>
      </c>
      <c r="O93" s="631">
        <f t="shared" si="27"/>
        <v>8.0459799999999998E-2</v>
      </c>
      <c r="P93" s="339"/>
      <c r="Q93" s="341"/>
      <c r="R93" s="341"/>
      <c r="S93" s="341"/>
      <c r="T93" s="341"/>
      <c r="U93" s="341"/>
      <c r="V93"/>
      <c r="W93"/>
      <c r="X93"/>
      <c r="Y93"/>
      <c r="Z93"/>
      <c r="AA93"/>
      <c r="AB93"/>
      <c r="AC93"/>
    </row>
    <row r="94" spans="1:29">
      <c r="A94" s="436" t="s">
        <v>503</v>
      </c>
      <c r="B94" s="631">
        <f t="shared" ref="B94:O94" si="28">ROUND(B138/B15,7)</f>
        <v>0</v>
      </c>
      <c r="C94" s="631">
        <f t="shared" si="28"/>
        <v>0</v>
      </c>
      <c r="D94" s="631">
        <f t="shared" si="28"/>
        <v>0</v>
      </c>
      <c r="E94" s="631">
        <f t="shared" si="28"/>
        <v>0</v>
      </c>
      <c r="F94" s="631">
        <f t="shared" si="28"/>
        <v>0</v>
      </c>
      <c r="G94" s="631">
        <f t="shared" si="28"/>
        <v>0</v>
      </c>
      <c r="H94" s="631">
        <f t="shared" si="28"/>
        <v>0</v>
      </c>
      <c r="I94" s="631">
        <f t="shared" si="28"/>
        <v>0</v>
      </c>
      <c r="J94" s="631">
        <f t="shared" si="28"/>
        <v>0</v>
      </c>
      <c r="K94" s="631">
        <f t="shared" si="28"/>
        <v>0</v>
      </c>
      <c r="L94" s="631">
        <f t="shared" si="28"/>
        <v>0</v>
      </c>
      <c r="M94" s="631">
        <f t="shared" si="28"/>
        <v>0</v>
      </c>
      <c r="N94" s="631">
        <f t="shared" si="28"/>
        <v>0</v>
      </c>
      <c r="O94" s="631">
        <f t="shared" si="28"/>
        <v>0</v>
      </c>
      <c r="P94" s="339"/>
      <c r="Q94" s="341"/>
      <c r="R94" s="341"/>
      <c r="S94" s="341"/>
      <c r="T94" s="341"/>
      <c r="U94" s="341"/>
    </row>
    <row r="95" spans="1:29">
      <c r="A95" s="436" t="s">
        <v>1237</v>
      </c>
      <c r="B95" s="631">
        <f t="shared" ref="B95:O95" si="29">ROUND(B15/21*B13,7)</f>
        <v>1</v>
      </c>
      <c r="C95" s="631">
        <f t="shared" si="29"/>
        <v>0.9</v>
      </c>
      <c r="D95" s="631">
        <f t="shared" si="29"/>
        <v>1</v>
      </c>
      <c r="E95" s="631">
        <f t="shared" si="29"/>
        <v>1</v>
      </c>
      <c r="F95" s="631">
        <f t="shared" si="29"/>
        <v>0.8</v>
      </c>
      <c r="G95" s="631">
        <f t="shared" si="29"/>
        <v>1</v>
      </c>
      <c r="H95" s="631">
        <f t="shared" si="29"/>
        <v>0.5</v>
      </c>
      <c r="I95" s="631">
        <f t="shared" si="29"/>
        <v>0.75</v>
      </c>
      <c r="J95" s="631">
        <f t="shared" si="29"/>
        <v>0.6</v>
      </c>
      <c r="K95" s="631">
        <f t="shared" si="29"/>
        <v>1</v>
      </c>
      <c r="L95" s="631">
        <f t="shared" si="29"/>
        <v>1</v>
      </c>
      <c r="M95" s="631">
        <f t="shared" si="29"/>
        <v>1</v>
      </c>
      <c r="N95" s="631">
        <f t="shared" si="29"/>
        <v>1</v>
      </c>
      <c r="O95" s="631">
        <f t="shared" si="29"/>
        <v>1</v>
      </c>
      <c r="P95" s="339"/>
      <c r="Q95" s="341"/>
      <c r="R95" s="341"/>
      <c r="S95" s="341"/>
      <c r="T95" s="341"/>
      <c r="U95" s="341"/>
    </row>
    <row r="96" spans="1:29">
      <c r="A96" s="408" t="s">
        <v>492</v>
      </c>
      <c r="B96" s="325">
        <f>ROUND(AA23*B16/365,0)</f>
        <v>679452</v>
      </c>
      <c r="C96" s="326">
        <f>ROUND(AA24*C16/365,0)</f>
        <v>679452</v>
      </c>
      <c r="E96" s="326">
        <f>ROUND(AA25*E16/365,0)</f>
        <v>679452</v>
      </c>
      <c r="F96" s="326">
        <f>ROUND(AA26*F16/365,0)</f>
        <v>679452</v>
      </c>
      <c r="G96" s="326"/>
      <c r="H96" s="326">
        <f>ROUND(AA27*G16/365,0)</f>
        <v>679452</v>
      </c>
      <c r="I96" s="326"/>
      <c r="J96" s="326"/>
      <c r="K96" s="334"/>
      <c r="L96" s="334"/>
      <c r="M96" s="334"/>
      <c r="N96" s="334"/>
      <c r="O96" s="334"/>
      <c r="P96" s="339">
        <f t="shared" si="22"/>
        <v>3397260</v>
      </c>
      <c r="Q96" s="373"/>
      <c r="R96" s="373"/>
      <c r="S96" s="373"/>
      <c r="T96" s="373"/>
      <c r="U96" s="373"/>
    </row>
    <row r="97" spans="1:21">
      <c r="A97" s="405" t="s">
        <v>534</v>
      </c>
      <c r="B97" s="325"/>
      <c r="C97" s="326"/>
      <c r="E97" s="326"/>
      <c r="F97" s="326"/>
      <c r="G97" s="326"/>
      <c r="H97" s="326">
        <f>ROUND(AA28*G16/365,0)</f>
        <v>594521</v>
      </c>
      <c r="I97" s="326"/>
      <c r="J97" s="326"/>
      <c r="K97" s="326"/>
      <c r="L97" s="326"/>
      <c r="M97" s="326"/>
      <c r="N97" s="326"/>
      <c r="O97" s="326"/>
      <c r="P97" s="339">
        <f t="shared" si="22"/>
        <v>594521</v>
      </c>
      <c r="Q97" s="373"/>
      <c r="R97" s="373"/>
      <c r="S97" s="373"/>
      <c r="T97" s="373"/>
      <c r="U97" s="373"/>
    </row>
    <row r="98" spans="1:21">
      <c r="A98" s="405"/>
      <c r="B98" s="325"/>
      <c r="C98" s="326"/>
      <c r="D98" s="326"/>
      <c r="E98" s="334"/>
      <c r="F98" s="326"/>
      <c r="G98" s="326"/>
      <c r="H98" s="326"/>
      <c r="I98" s="326"/>
      <c r="J98" s="326"/>
      <c r="K98" s="334"/>
      <c r="L98" s="334"/>
      <c r="M98" s="334"/>
      <c r="N98" s="334"/>
      <c r="O98" s="395"/>
      <c r="P98" s="340"/>
      <c r="Q98" s="341"/>
      <c r="R98" s="341"/>
      <c r="S98" s="341"/>
      <c r="T98" s="341"/>
      <c r="U98" s="341"/>
    </row>
    <row r="99" spans="1:21">
      <c r="A99" s="436" t="s">
        <v>576</v>
      </c>
      <c r="B99" s="326">
        <f>SUM(B24:B39)</f>
        <v>16500000</v>
      </c>
      <c r="C99" s="326">
        <f>SUM(C24:C39)-C38</f>
        <v>15265000</v>
      </c>
      <c r="D99" s="326">
        <f t="shared" ref="D99:O99" si="30">SUM(D24:D39)-D38</f>
        <v>22100000</v>
      </c>
      <c r="E99" s="326">
        <f t="shared" si="30"/>
        <v>84000000</v>
      </c>
      <c r="F99" s="326">
        <f t="shared" si="30"/>
        <v>16200000</v>
      </c>
      <c r="G99" s="326">
        <f t="shared" si="30"/>
        <v>185640000</v>
      </c>
      <c r="H99" s="326">
        <f t="shared" si="30"/>
        <v>111384000</v>
      </c>
      <c r="I99" s="326">
        <f t="shared" si="30"/>
        <v>421170750</v>
      </c>
      <c r="J99" s="326">
        <f t="shared" si="30"/>
        <v>39000000</v>
      </c>
      <c r="K99" s="326">
        <f t="shared" si="30"/>
        <v>10400000</v>
      </c>
      <c r="L99" s="326">
        <f t="shared" si="30"/>
        <v>90000000</v>
      </c>
      <c r="M99" s="326">
        <f t="shared" si="30"/>
        <v>7500000</v>
      </c>
      <c r="N99" s="326">
        <f t="shared" si="30"/>
        <v>9000000</v>
      </c>
      <c r="O99" s="326">
        <f t="shared" si="30"/>
        <v>4000000</v>
      </c>
      <c r="P99" s="339">
        <f t="shared" ref="P99:P107" si="31">SUM(B99:O99)</f>
        <v>1032159750</v>
      </c>
      <c r="Q99" s="341"/>
      <c r="R99" s="341"/>
      <c r="S99" s="341"/>
      <c r="T99" s="341"/>
      <c r="U99" s="341"/>
    </row>
    <row r="100" spans="1:21">
      <c r="A100" s="436" t="s">
        <v>484</v>
      </c>
      <c r="B100" s="326">
        <f t="shared" ref="B100:O100" si="32">SUM(B24:B34,B42)-B56</f>
        <v>16701270</v>
      </c>
      <c r="C100" s="326">
        <f t="shared" si="32"/>
        <v>12627287</v>
      </c>
      <c r="D100" s="326">
        <f t="shared" si="32"/>
        <v>12100000</v>
      </c>
      <c r="E100" s="326">
        <f t="shared" si="32"/>
        <v>89301906</v>
      </c>
      <c r="F100" s="326">
        <f t="shared" si="32"/>
        <v>11200000</v>
      </c>
      <c r="G100" s="326">
        <f t="shared" si="32"/>
        <v>169396500</v>
      </c>
      <c r="H100" s="326">
        <f t="shared" si="32"/>
        <v>114665284</v>
      </c>
      <c r="I100" s="326">
        <f t="shared" si="32"/>
        <v>189120750</v>
      </c>
      <c r="J100" s="326">
        <f t="shared" si="32"/>
        <v>39000000</v>
      </c>
      <c r="K100" s="326">
        <f t="shared" si="32"/>
        <v>10400000</v>
      </c>
      <c r="L100" s="326">
        <f t="shared" si="32"/>
        <v>90000000</v>
      </c>
      <c r="M100" s="326">
        <f t="shared" si="32"/>
        <v>7500000</v>
      </c>
      <c r="N100" s="326">
        <f t="shared" si="32"/>
        <v>9000000</v>
      </c>
      <c r="O100" s="326">
        <f t="shared" si="32"/>
        <v>4000000</v>
      </c>
      <c r="P100" s="339">
        <f t="shared" si="31"/>
        <v>775012997</v>
      </c>
      <c r="Q100" s="341"/>
      <c r="R100" s="341"/>
      <c r="S100" s="341"/>
      <c r="T100" s="341"/>
      <c r="U100" s="341"/>
    </row>
    <row r="101" spans="1:21">
      <c r="A101" s="436" t="s">
        <v>578</v>
      </c>
      <c r="B101" s="326">
        <f t="shared" ref="B101:O101" si="33">MIN(IF(OR(B18="A",B18="B"),ROUND(SUM(B142,B129,B130)*B13,0),B143),27800000)</f>
        <v>6500000</v>
      </c>
      <c r="C101" s="326">
        <f t="shared" si="33"/>
        <v>5265000</v>
      </c>
      <c r="D101" s="326">
        <f t="shared" si="33"/>
        <v>9100000</v>
      </c>
      <c r="E101" s="326">
        <f t="shared" si="33"/>
        <v>9000000</v>
      </c>
      <c r="F101" s="326">
        <f t="shared" si="33"/>
        <v>11200000</v>
      </c>
      <c r="G101" s="326">
        <f t="shared" si="33"/>
        <v>0</v>
      </c>
      <c r="H101" s="326">
        <f t="shared" si="33"/>
        <v>27800000</v>
      </c>
      <c r="I101" s="326">
        <f t="shared" si="33"/>
        <v>27800000</v>
      </c>
      <c r="J101" s="326">
        <f t="shared" si="33"/>
        <v>27800000</v>
      </c>
      <c r="K101" s="326">
        <f t="shared" si="33"/>
        <v>10400000</v>
      </c>
      <c r="L101" s="326">
        <f t="shared" si="33"/>
        <v>27800000</v>
      </c>
      <c r="M101" s="326">
        <f t="shared" si="33"/>
        <v>7500000</v>
      </c>
      <c r="N101" s="326">
        <f t="shared" si="33"/>
        <v>9000000</v>
      </c>
      <c r="O101" s="326">
        <f t="shared" si="33"/>
        <v>0</v>
      </c>
      <c r="P101" s="339">
        <f t="shared" si="31"/>
        <v>179165000</v>
      </c>
      <c r="Q101" s="341"/>
      <c r="R101" s="341"/>
      <c r="S101" s="341"/>
      <c r="T101" s="341"/>
      <c r="U101" s="341"/>
    </row>
    <row r="102" spans="1:21">
      <c r="A102" s="405" t="s">
        <v>1200</v>
      </c>
      <c r="B102" s="326">
        <f t="shared" ref="B102:O102" si="34">IF(OR(B18="A",B18="B"),ROUND(SUM(B142,B129,B130)*B13,0),B144)</f>
        <v>6500000</v>
      </c>
      <c r="C102" s="326">
        <f t="shared" si="34"/>
        <v>5265000</v>
      </c>
      <c r="D102" s="326">
        <f t="shared" si="34"/>
        <v>9100000</v>
      </c>
      <c r="E102" s="326">
        <f t="shared" si="34"/>
        <v>9000000</v>
      </c>
      <c r="F102" s="326">
        <f t="shared" si="34"/>
        <v>11200000</v>
      </c>
      <c r="G102" s="326">
        <f t="shared" si="34"/>
        <v>0</v>
      </c>
      <c r="H102" s="326">
        <f t="shared" si="34"/>
        <v>69325000</v>
      </c>
      <c r="I102" s="326">
        <f t="shared" si="34"/>
        <v>63450000</v>
      </c>
      <c r="J102" s="326">
        <f t="shared" si="34"/>
        <v>39000000</v>
      </c>
      <c r="K102" s="326">
        <f t="shared" si="34"/>
        <v>10400000</v>
      </c>
      <c r="L102" s="326">
        <f t="shared" si="34"/>
        <v>90000000</v>
      </c>
      <c r="M102" s="326">
        <f t="shared" si="34"/>
        <v>7500000</v>
      </c>
      <c r="N102" s="326">
        <f t="shared" si="34"/>
        <v>9000000</v>
      </c>
      <c r="O102" s="326">
        <f t="shared" si="34"/>
        <v>0</v>
      </c>
      <c r="P102" s="339">
        <f t="shared" si="31"/>
        <v>329740000</v>
      </c>
      <c r="Q102" s="341"/>
      <c r="R102" s="341"/>
      <c r="S102" s="341"/>
      <c r="T102" s="341"/>
      <c r="U102" s="341"/>
    </row>
    <row r="103" spans="1:21">
      <c r="A103" s="405" t="s">
        <v>580</v>
      </c>
      <c r="B103" s="326">
        <f t="shared" ref="B103:O103" si="35">IF(OR(B18="A",B18="B"),ROUND((SUM(B142,B129,B130,B133,B134,B132)*B13),0),ROUND((B142+B129+B130+B132)*B13,0))</f>
        <v>6500000</v>
      </c>
      <c r="C103" s="326">
        <f t="shared" si="35"/>
        <v>5265000</v>
      </c>
      <c r="D103" s="326">
        <f t="shared" si="35"/>
        <v>9100000</v>
      </c>
      <c r="E103" s="326">
        <f t="shared" si="35"/>
        <v>9000000</v>
      </c>
      <c r="F103" s="326">
        <f t="shared" si="35"/>
        <v>11200000</v>
      </c>
      <c r="G103" s="326">
        <f t="shared" si="35"/>
        <v>0</v>
      </c>
      <c r="H103" s="326">
        <f t="shared" si="35"/>
        <v>68454750</v>
      </c>
      <c r="I103" s="326">
        <f t="shared" si="35"/>
        <v>62653500</v>
      </c>
      <c r="J103" s="326">
        <f t="shared" si="35"/>
        <v>39000000</v>
      </c>
      <c r="K103" s="326">
        <f t="shared" si="35"/>
        <v>10400000</v>
      </c>
      <c r="L103" s="326">
        <f t="shared" si="35"/>
        <v>90000000</v>
      </c>
      <c r="M103" s="326">
        <f t="shared" si="35"/>
        <v>7500000</v>
      </c>
      <c r="N103" s="326">
        <f t="shared" si="35"/>
        <v>9000000</v>
      </c>
      <c r="O103" s="326">
        <f t="shared" si="35"/>
        <v>0</v>
      </c>
      <c r="P103" s="339">
        <f t="shared" si="31"/>
        <v>328073250</v>
      </c>
      <c r="Q103" s="341"/>
      <c r="R103" s="341"/>
      <c r="S103" s="341"/>
      <c r="T103" s="341"/>
      <c r="U103" s="341"/>
    </row>
    <row r="104" spans="1:21">
      <c r="A104" s="405" t="s">
        <v>481</v>
      </c>
      <c r="B104" s="326">
        <f>ROUND('UAT2-Feb'!B73/2,0)</f>
        <v>10300000</v>
      </c>
      <c r="C104" s="326">
        <f>ROUND('UAT2-Feb'!C73/2,0)</f>
        <v>9342000</v>
      </c>
      <c r="D104" s="326">
        <f>ROUND('UAT2-Feb'!D73/2,0)</f>
        <v>12148479</v>
      </c>
      <c r="E104" s="326">
        <f>ROUND('UAT2-Feb'!E73/2,0)</f>
        <v>10800000</v>
      </c>
      <c r="F104" s="326">
        <f>ROUND('UAT2-Feb'!F73/2,0)</f>
        <v>12640000</v>
      </c>
      <c r="G104" s="326">
        <f>ROUND('UAT2-Feb'!G73/2,0)</f>
        <v>0</v>
      </c>
      <c r="H104" s="326">
        <f>ROUND('UAT2-Feb'!H73/2,0)</f>
        <v>72515625</v>
      </c>
      <c r="I104" s="326">
        <f>ROUND('UAT2-Feb'!I73/2,0)</f>
        <v>68483756</v>
      </c>
      <c r="J104" s="326">
        <f>ROUND('UAT2-Feb'!J73/2,0)</f>
        <v>39000000</v>
      </c>
      <c r="K104" s="326">
        <f>ROUND('UAT2-Feb'!K73/2,0)</f>
        <v>11130000</v>
      </c>
      <c r="L104" s="326">
        <f>ROUND('UAT2-Feb'!L73/2,0)</f>
        <v>90000000</v>
      </c>
      <c r="M104" s="326">
        <f>ROUND('UAT2-Feb'!M73/2,0)</f>
        <v>7500000</v>
      </c>
      <c r="N104" s="326">
        <f>ROUND('UAT2-Feb'!N73/2,0)</f>
        <v>9000000</v>
      </c>
      <c r="O104" s="326">
        <f>ROUND('UAT2-Feb'!O73/2,0)</f>
        <v>0</v>
      </c>
      <c r="P104" s="339">
        <f t="shared" si="31"/>
        <v>352859860</v>
      </c>
      <c r="Q104" s="374"/>
      <c r="R104" s="374"/>
      <c r="S104" s="374"/>
      <c r="T104" s="374"/>
      <c r="U104" s="374"/>
    </row>
    <row r="105" spans="1:21">
      <c r="A105" s="436" t="s">
        <v>600</v>
      </c>
      <c r="B105" s="326">
        <f t="shared" ref="B105:O105" si="36">SUM(B48:B50)</f>
        <v>682500</v>
      </c>
      <c r="C105" s="326">
        <f t="shared" si="36"/>
        <v>552825</v>
      </c>
      <c r="D105" s="326">
        <f t="shared" si="36"/>
        <v>227500</v>
      </c>
      <c r="E105" s="326">
        <f t="shared" si="36"/>
        <v>945000</v>
      </c>
      <c r="F105" s="326">
        <f t="shared" si="36"/>
        <v>0</v>
      </c>
      <c r="G105" s="326">
        <f t="shared" si="36"/>
        <v>0</v>
      </c>
      <c r="H105" s="326">
        <f t="shared" si="36"/>
        <v>417000</v>
      </c>
      <c r="I105" s="326">
        <f t="shared" si="36"/>
        <v>417000</v>
      </c>
      <c r="J105" s="326">
        <f t="shared" si="36"/>
        <v>3031000</v>
      </c>
      <c r="K105" s="326">
        <f t="shared" si="36"/>
        <v>0</v>
      </c>
      <c r="L105" s="326">
        <f t="shared" si="36"/>
        <v>3477000</v>
      </c>
      <c r="M105" s="326">
        <f t="shared" si="36"/>
        <v>0</v>
      </c>
      <c r="N105" s="326">
        <f t="shared" si="36"/>
        <v>0</v>
      </c>
      <c r="O105" s="326">
        <f t="shared" si="36"/>
        <v>0</v>
      </c>
      <c r="P105" s="339">
        <f t="shared" si="31"/>
        <v>9749825</v>
      </c>
      <c r="Q105" s="341"/>
      <c r="R105" s="341"/>
      <c r="S105" s="341"/>
      <c r="T105" s="341"/>
      <c r="U105" s="341"/>
    </row>
    <row r="106" spans="1:21">
      <c r="A106" s="436" t="s">
        <v>1230</v>
      </c>
      <c r="B106" s="326">
        <f t="shared" ref="B106:O106" si="37">IF(OR(B18="A",B18="C"),B100-B105,B100)</f>
        <v>16018770</v>
      </c>
      <c r="C106" s="326">
        <f t="shared" si="37"/>
        <v>12074462</v>
      </c>
      <c r="D106" s="326">
        <f t="shared" si="37"/>
        <v>11872500</v>
      </c>
      <c r="E106" s="326">
        <f t="shared" si="37"/>
        <v>89301906</v>
      </c>
      <c r="F106" s="326">
        <f t="shared" si="37"/>
        <v>11200000</v>
      </c>
      <c r="G106" s="326">
        <f t="shared" si="37"/>
        <v>169396500</v>
      </c>
      <c r="H106" s="326">
        <f t="shared" si="37"/>
        <v>114665284</v>
      </c>
      <c r="I106" s="326">
        <f t="shared" si="37"/>
        <v>189120750</v>
      </c>
      <c r="J106" s="326">
        <f t="shared" si="37"/>
        <v>35969000</v>
      </c>
      <c r="K106" s="326">
        <f t="shared" si="37"/>
        <v>10400000</v>
      </c>
      <c r="L106" s="326">
        <f t="shared" si="37"/>
        <v>86523000</v>
      </c>
      <c r="M106" s="326">
        <f t="shared" si="37"/>
        <v>7500000</v>
      </c>
      <c r="N106" s="326">
        <f t="shared" si="37"/>
        <v>9000000</v>
      </c>
      <c r="O106" s="326">
        <f t="shared" si="37"/>
        <v>4000000</v>
      </c>
      <c r="P106" s="339">
        <f t="shared" si="31"/>
        <v>767042172</v>
      </c>
      <c r="Q106" s="341"/>
      <c r="R106" s="341"/>
      <c r="S106" s="341"/>
      <c r="T106" s="341"/>
      <c r="U106" s="341"/>
    </row>
    <row r="107" spans="1:21">
      <c r="A107" s="436" t="s">
        <v>849</v>
      </c>
      <c r="B107" s="326">
        <f t="shared" ref="B107:O107" si="38">MAX(B106-B21-B20,0)</f>
        <v>3418770</v>
      </c>
      <c r="C107" s="326">
        <f t="shared" si="38"/>
        <v>0</v>
      </c>
      <c r="D107" s="326">
        <f t="shared" si="38"/>
        <v>0</v>
      </c>
      <c r="E107" s="326">
        <f t="shared" si="38"/>
        <v>89301906</v>
      </c>
      <c r="F107" s="326">
        <f t="shared" si="38"/>
        <v>11200000</v>
      </c>
      <c r="G107" s="326">
        <f t="shared" si="38"/>
        <v>160396500</v>
      </c>
      <c r="H107" s="326">
        <f t="shared" si="38"/>
        <v>114665284</v>
      </c>
      <c r="I107" s="326">
        <f t="shared" si="38"/>
        <v>189120750</v>
      </c>
      <c r="J107" s="326">
        <f t="shared" si="38"/>
        <v>26969000</v>
      </c>
      <c r="K107" s="326">
        <f t="shared" si="38"/>
        <v>1400000</v>
      </c>
      <c r="L107" s="326">
        <f t="shared" si="38"/>
        <v>77523000</v>
      </c>
      <c r="M107" s="326">
        <f t="shared" si="38"/>
        <v>0</v>
      </c>
      <c r="N107" s="326">
        <f t="shared" si="38"/>
        <v>0</v>
      </c>
      <c r="O107" s="326">
        <f t="shared" si="38"/>
        <v>4000000</v>
      </c>
      <c r="P107" s="339">
        <f t="shared" si="31"/>
        <v>677995210</v>
      </c>
      <c r="Q107" s="341"/>
      <c r="R107" s="341"/>
      <c r="S107" s="341"/>
      <c r="T107" s="341"/>
      <c r="U107" s="341"/>
    </row>
    <row r="108" spans="1:21">
      <c r="A108" s="436" t="s">
        <v>485</v>
      </c>
      <c r="B108" s="326">
        <f>IF(OR(B18="A",B18="C"),ROUND(MAX(B107*{5;10;15;20;25;30;35}%-{0;0.25;0.75;1.65;3.25;5.85;9.85}*1000000,0),0),IF(B18="B",IF(B107&lt;2000000,0,ROUND(B107*10%,0)),ROUND(B107*20%,0)))</f>
        <v>170939</v>
      </c>
      <c r="C108" s="326">
        <f>IF(OR(C18="A",C18="C"),ROUND(MAX(C107*{5;10;15;20;25;30;35}%-{0;0.25;0.75;1.65;3.25;5.85;9.85}*1000000,0),0),IF(C18="B",IF(C107&lt;2000000,0,ROUND(C107*10%,0)),ROUND(C107*20%,0)))</f>
        <v>0</v>
      </c>
      <c r="D108" s="326">
        <f>IF(OR(D18="A",D18="C"),ROUND(MAX(D107*{5;10;15;20;25;30;35}%-{0;0.25;0.75;1.65;3.25;5.85;9.85}*1000000,0),0),IF(D18="B",IF(D107&lt;2000000,0,ROUND(D107*10%,0)),ROUND(D107*20%,0)))</f>
        <v>0</v>
      </c>
      <c r="E108" s="326">
        <f>IF(OR(E18="A",E18="C"),ROUND(MAX(E107*{5;10;15;20;25;30;35}%-{0;0.25;0.75;1.65;3.25;5.85;9.85}*1000000,0),0),IF(E18="B",IF(E107&lt;2000000,0,ROUND(E107*10%,0)),ROUND(E107*20%,0)))</f>
        <v>8930191</v>
      </c>
      <c r="F108" s="326">
        <f>IF(OR(F18="A",F18="C"),ROUND(MAX(F107*{5;10;15;20;25;30;35}%-{0;0.25;0.75;1.65;3.25;5.85;9.85}*1000000,0),0),IF(F18="B",IF(F107&lt;2000000,0,ROUND(F107*10%,0)),ROUND(F107*20%,0)))</f>
        <v>1120000</v>
      </c>
      <c r="G108" s="326">
        <f>IF(OR(G18="A",G18="C"),ROUND(MAX(G107*{5;10;15;20;25;30;35}%-{0;0.25;0.75;1.65;3.25;5.85;9.85}*1000000,0),0),IF(G18="B",IF(G107&lt;2000000,0,ROUND(G107*10%,0)),ROUND(G107*20%,0)))</f>
        <v>46288775</v>
      </c>
      <c r="H108" s="326">
        <f>IF(OR(H18="A",H18="C"),ROUND(MAX(H107*{5;10;15;20;25;30;35}%-{0;0.25;0.75;1.65;3.25;5.85;9.85}*1000000,0),0),IF(H18="B",IF(H107&lt;2000000,0,ROUND(H107*10%,0)),ROUND(H107*20%,0)))</f>
        <v>22933057</v>
      </c>
      <c r="I108" s="326">
        <f>IF(OR(I18="A",I18="C"),ROUND(MAX(I107*{5;10;15;20;25;30;35}%-{0;0.25;0.75;1.65;3.25;5.85;9.85}*1000000,0),0),IF(I18="B",IF(I107&lt;2000000,0,ROUND(I107*10%,0)),ROUND(I107*20%,0)))</f>
        <v>37824150</v>
      </c>
      <c r="J108" s="326">
        <f>IF(OR(J18="A",J18="C"),ROUND(MAX(J107*{5;10;15;20;25;30;35}%-{0;0.25;0.75;1.65;3.25;5.85;9.85}*1000000,0),0),IF(J18="B",IF(J107&lt;2000000,0,ROUND(J107*10%,0)),ROUND(J107*20%,0)))</f>
        <v>3743800</v>
      </c>
      <c r="K108" s="326">
        <f>IF(OR(K18="A",K18="C"),ROUND(MAX(K107*{5;10;15;20;25;30;35}%-{0;0.25;0.75;1.65;3.25;5.85;9.85}*1000000,0),0),IF(K18="B",IF(K107&lt;2000000,0,ROUND(K107*10%,0)),ROUND(K107*20%,0)))</f>
        <v>70000</v>
      </c>
      <c r="L108" s="326">
        <f>IF(OR(L18="A",L18="C"),ROUND(MAX(L107*{5;10;15;20;25;30;35}%-{0;0.25;0.75;1.65;3.25;5.85;9.85}*1000000,0),0),IF(L18="B",IF(L107&lt;2000000,0,ROUND(L107*10%,0)),ROUND(L107*20%,0)))</f>
        <v>17406900</v>
      </c>
      <c r="M108" s="326">
        <f>IF(OR(M18="A",M18="C"),ROUND(MAX(M107*{5;10;15;20;25;30;35}%-{0;0.25;0.75;1.65;3.25;5.85;9.85}*1000000,0),0),IF(M18="B",IF(M107&lt;2000000,0,ROUND(M107*10%,0)),ROUND(M107*20%,0)))</f>
        <v>0</v>
      </c>
      <c r="N108" s="326">
        <f>IF(OR(N18="A",N18="C"),ROUND(MAX(N107*{5;10;15;20;25;30;35}%-{0;0.25;0.75;1.65;3.25;5.85;9.85}*1000000,0),0),IF(N18="B",IF(N107&lt;2000000,0,ROUND(N107*10%,0)),ROUND(N107*20%,0)))</f>
        <v>0</v>
      </c>
      <c r="O108" s="326">
        <f>IF(OR(O18="A",O18="C"),ROUND(MAX(O107*{5;10;15;20;25;30;35}%-{0;0.25;0.75;1.65;3.25;5.85;9.85}*1000000,0),0),IF(O18="B",IF(O107&lt;2000000,0,ROUND(O107*10%,0)),ROUND(O107*20%,0)))</f>
        <v>400000</v>
      </c>
      <c r="P108" s="339">
        <f>SUM(B108:O108)</f>
        <v>138887812</v>
      </c>
      <c r="Q108" s="341"/>
      <c r="R108" s="341"/>
      <c r="S108" s="341"/>
      <c r="T108" s="341"/>
      <c r="U108" s="341"/>
    </row>
    <row r="109" spans="1:21">
      <c r="A109" s="436" t="s">
        <v>862</v>
      </c>
      <c r="B109" s="326">
        <f>B100+'UAT2-Feb'!B112</f>
        <v>47084333</v>
      </c>
      <c r="C109" s="326">
        <f>C100+'UAT2-Feb'!C112</f>
        <v>39146801</v>
      </c>
      <c r="D109" s="326">
        <f>D100+'UAT2-Feb'!D112</f>
        <v>48821738</v>
      </c>
      <c r="E109" s="326">
        <f>E100+'UAT2-Feb'!E112</f>
        <v>113876501</v>
      </c>
      <c r="F109" s="326">
        <f>F100+'UAT2-Feb'!F112</f>
        <v>38400000</v>
      </c>
      <c r="G109" s="326">
        <f>G100+'UAT2-Feb'!G112</f>
        <v>204204000</v>
      </c>
      <c r="H109" s="326">
        <f>H100+'UAT2-Feb'!H112</f>
        <v>300749058</v>
      </c>
      <c r="I109" s="326">
        <f>I100+'UAT2-Feb'!I112</f>
        <v>315226052</v>
      </c>
      <c r="J109" s="326">
        <f>J100+'UAT2-Feb'!J112</f>
        <v>88173914</v>
      </c>
      <c r="K109" s="326">
        <f>K100+'UAT2-Feb'!K112</f>
        <v>31200000</v>
      </c>
      <c r="L109" s="326">
        <f>L100+'UAT2-Feb'!L112</f>
        <v>270000000</v>
      </c>
      <c r="M109" s="326">
        <f>M100+'UAT2-Feb'!M112</f>
        <v>22500000</v>
      </c>
      <c r="N109" s="326">
        <f>N100+'UAT2-Feb'!N112</f>
        <v>27000000</v>
      </c>
      <c r="O109" s="326">
        <f>O100+'UAT2-Feb'!O112</f>
        <v>10000000</v>
      </c>
      <c r="P109" s="339">
        <f>SUM(B109:O109)</f>
        <v>1556382397</v>
      </c>
      <c r="Q109" s="341"/>
      <c r="R109" s="341"/>
      <c r="S109" s="341"/>
      <c r="T109" s="341"/>
      <c r="U109" s="341"/>
    </row>
    <row r="110" spans="1:21">
      <c r="A110" s="436" t="s">
        <v>486</v>
      </c>
      <c r="B110" s="326">
        <f>B108+'UAT2-Feb'!B113</f>
        <v>325093</v>
      </c>
      <c r="C110" s="326">
        <f>C108+'UAT2-Feb'!C113</f>
        <v>0</v>
      </c>
      <c r="D110" s="326">
        <f>D108+'UAT2-Feb'!D113</f>
        <v>678837</v>
      </c>
      <c r="E110" s="326">
        <f>E108+'UAT2-Feb'!E113</f>
        <v>11387651</v>
      </c>
      <c r="F110" s="326">
        <f>F108+'UAT2-Feb'!F113</f>
        <v>3840000</v>
      </c>
      <c r="G110" s="326">
        <f>G108+'UAT2-Feb'!G113</f>
        <v>47799650</v>
      </c>
      <c r="H110" s="326">
        <f>H108+'UAT2-Feb'!H113</f>
        <v>60149812</v>
      </c>
      <c r="I110" s="326">
        <f>I108+'UAT2-Feb'!I113</f>
        <v>63045210</v>
      </c>
      <c r="J110" s="326">
        <f>J108+'UAT2-Feb'!J113</f>
        <v>8507789</v>
      </c>
      <c r="K110" s="326">
        <f>K108+'UAT2-Feb'!K113</f>
        <v>210000</v>
      </c>
      <c r="L110" s="326">
        <f>L108+'UAT2-Feb'!L113</f>
        <v>52220700</v>
      </c>
      <c r="M110" s="326">
        <f>M108+'UAT2-Feb'!M113</f>
        <v>0</v>
      </c>
      <c r="N110" s="326">
        <f>N108+'UAT2-Feb'!N113</f>
        <v>0</v>
      </c>
      <c r="O110" s="326">
        <f>O108+'UAT2-Feb'!O113</f>
        <v>1000000</v>
      </c>
      <c r="P110" s="339">
        <f>SUM(B110:O110)</f>
        <v>249164742</v>
      </c>
      <c r="Q110" s="341"/>
      <c r="R110" s="341"/>
      <c r="S110" s="341"/>
      <c r="T110" s="341"/>
      <c r="U110" s="341"/>
    </row>
    <row r="111" spans="1:21">
      <c r="A111" s="436" t="s">
        <v>487</v>
      </c>
      <c r="B111" s="326">
        <f>B105+'UAT2-Feb'!B114</f>
        <v>2782500</v>
      </c>
      <c r="C111" s="326">
        <f>C105+'UAT2-Feb'!C114</f>
        <v>2319975</v>
      </c>
      <c r="D111" s="326">
        <f>D105+'UAT2-Feb'!D114</f>
        <v>857500</v>
      </c>
      <c r="E111" s="326">
        <f>E105+'UAT2-Feb'!E114</f>
        <v>2835000</v>
      </c>
      <c r="F111" s="326">
        <f>F105+'UAT2-Feb'!F114</f>
        <v>0</v>
      </c>
      <c r="G111" s="326">
        <f>G105+'UAT2-Feb'!G114</f>
        <v>0</v>
      </c>
      <c r="H111" s="326">
        <f>H105+'UAT2-Feb'!H114</f>
        <v>1251000</v>
      </c>
      <c r="I111" s="326">
        <f>I105+'UAT2-Feb'!I114</f>
        <v>834000</v>
      </c>
      <c r="J111" s="326">
        <f>J105+'UAT2-Feb'!J114</f>
        <v>6062000</v>
      </c>
      <c r="K111" s="326">
        <f>K105+'UAT2-Feb'!K114</f>
        <v>0</v>
      </c>
      <c r="L111" s="326">
        <f>L105+'UAT2-Feb'!L114</f>
        <v>10431000</v>
      </c>
      <c r="M111" s="326">
        <f>M105+'UAT2-Feb'!M114</f>
        <v>0</v>
      </c>
      <c r="N111" s="326">
        <f>N105+'UAT2-Feb'!N114</f>
        <v>0</v>
      </c>
      <c r="O111" s="326">
        <f>O105+'UAT2-Feb'!O114</f>
        <v>0</v>
      </c>
      <c r="P111" s="339">
        <f>SUM(B111:O111)</f>
        <v>27372975</v>
      </c>
      <c r="Q111" s="341"/>
      <c r="R111" s="341"/>
      <c r="S111" s="341"/>
      <c r="T111" s="341"/>
      <c r="U111" s="341"/>
    </row>
    <row r="112" spans="1:21">
      <c r="A112" s="405"/>
      <c r="B112" s="14"/>
      <c r="C112" s="7"/>
      <c r="D112" s="7"/>
      <c r="E112" s="316"/>
      <c r="F112" s="7"/>
      <c r="G112" s="7"/>
      <c r="H112" s="7"/>
      <c r="I112" s="7"/>
      <c r="J112" s="7"/>
      <c r="K112" s="316"/>
      <c r="L112" s="316"/>
      <c r="M112" s="316"/>
      <c r="N112" s="316"/>
      <c r="O112" s="316"/>
      <c r="P112" s="339"/>
      <c r="Q112" s="341"/>
      <c r="R112" s="341"/>
      <c r="S112" s="341"/>
      <c r="T112" s="341"/>
      <c r="U112" s="341"/>
    </row>
    <row r="113" spans="1:21" ht="15.6">
      <c r="A113" s="404" t="s">
        <v>775</v>
      </c>
      <c r="B113" s="14"/>
      <c r="C113" s="7"/>
      <c r="D113" s="7"/>
      <c r="E113" s="316"/>
      <c r="F113" s="7"/>
      <c r="G113" s="7"/>
      <c r="H113" s="7"/>
      <c r="I113" s="7"/>
      <c r="J113" s="7"/>
      <c r="K113" s="316"/>
      <c r="L113" s="316"/>
      <c r="M113" s="316"/>
      <c r="N113" s="316"/>
      <c r="O113" s="375"/>
      <c r="P113" s="340"/>
      <c r="Q113" s="341"/>
      <c r="R113" s="341"/>
      <c r="S113" s="341"/>
      <c r="T113" s="341"/>
      <c r="U113" s="341"/>
    </row>
    <row r="114" spans="1:21">
      <c r="A114" s="436" t="s">
        <v>431</v>
      </c>
      <c r="B114" s="531">
        <f>'UAT2-Feb'!B117</f>
        <v>160</v>
      </c>
      <c r="C114" s="531">
        <f>'UAT2-Feb'!C117</f>
        <v>144</v>
      </c>
      <c r="D114" s="531">
        <f>'UAT2-Feb'!D117</f>
        <v>156.93</v>
      </c>
      <c r="E114" s="531">
        <f>'UAT2-Feb'!E117</f>
        <v>160</v>
      </c>
      <c r="F114" s="531">
        <f>'UAT2-Feb'!F117</f>
        <v>128</v>
      </c>
      <c r="G114" s="531">
        <f>'UAT2-Feb'!G117</f>
        <v>0</v>
      </c>
      <c r="H114" s="531">
        <f>'UAT2-Feb'!H117</f>
        <v>80</v>
      </c>
      <c r="I114" s="531">
        <f>'UAT2-Feb'!I117</f>
        <v>0</v>
      </c>
      <c r="J114" s="531">
        <f>'UAT2-Feb'!J117</f>
        <v>88.64</v>
      </c>
      <c r="K114" s="531">
        <f>'UAT2-Feb'!K117</f>
        <v>160</v>
      </c>
      <c r="L114" s="531">
        <f>'UAT2-Feb'!L117</f>
        <v>160</v>
      </c>
      <c r="M114" s="531">
        <f>'UAT2-Feb'!M117</f>
        <v>160</v>
      </c>
      <c r="N114" s="531">
        <f>'UAT2-Feb'!N117</f>
        <v>160</v>
      </c>
      <c r="O114" s="532">
        <f>'UAT2-Feb'!O117</f>
        <v>0</v>
      </c>
      <c r="P114" s="466">
        <f t="shared" ref="P114:P145" si="39">SUM(B114:O114)</f>
        <v>1557.5700000000002</v>
      </c>
      <c r="Q114" s="341"/>
      <c r="R114" s="341"/>
      <c r="S114" s="341"/>
      <c r="T114" s="341"/>
      <c r="U114" s="341"/>
    </row>
    <row r="115" spans="1:21">
      <c r="A115" s="436" t="s">
        <v>432</v>
      </c>
      <c r="B115" s="531">
        <f>'UAT2-Feb'!B118</f>
        <v>80</v>
      </c>
      <c r="C115" s="531">
        <f>'UAT2-Feb'!C118</f>
        <v>72</v>
      </c>
      <c r="D115" s="531">
        <f>'UAT2-Feb'!D118</f>
        <v>78.47</v>
      </c>
      <c r="E115" s="531">
        <f>'UAT2-Feb'!E118</f>
        <v>80</v>
      </c>
      <c r="F115" s="531">
        <f>'UAT2-Feb'!F118</f>
        <v>64</v>
      </c>
      <c r="G115" s="531">
        <f>'UAT2-Feb'!G118</f>
        <v>0</v>
      </c>
      <c r="H115" s="531">
        <f>'UAT2-Feb'!H118</f>
        <v>40</v>
      </c>
      <c r="I115" s="531">
        <f>'UAT2-Feb'!I118</f>
        <v>0</v>
      </c>
      <c r="J115" s="531">
        <f>'UAT2-Feb'!J118</f>
        <v>44.32</v>
      </c>
      <c r="K115" s="531">
        <f>'UAT2-Feb'!K118</f>
        <v>80</v>
      </c>
      <c r="L115" s="531">
        <f>'UAT2-Feb'!L118</f>
        <v>80</v>
      </c>
      <c r="M115" s="531">
        <f>'UAT2-Feb'!M118</f>
        <v>80</v>
      </c>
      <c r="N115" s="531">
        <f>'UAT2-Feb'!N118</f>
        <v>80</v>
      </c>
      <c r="O115" s="532">
        <f>'UAT2-Feb'!O118</f>
        <v>0</v>
      </c>
      <c r="P115" s="466">
        <f t="shared" si="39"/>
        <v>778.79</v>
      </c>
      <c r="Q115" s="341"/>
      <c r="R115" s="341"/>
      <c r="S115" s="341"/>
      <c r="T115" s="341"/>
      <c r="U115" s="341"/>
    </row>
    <row r="116" spans="1:21">
      <c r="A116" s="436" t="s">
        <v>433</v>
      </c>
      <c r="B116" s="531">
        <f>'UAT2-Feb'!B119</f>
        <v>0</v>
      </c>
      <c r="C116" s="531">
        <f>'UAT2-Feb'!C119</f>
        <v>0</v>
      </c>
      <c r="D116" s="531">
        <f>'UAT2-Feb'!D119</f>
        <v>0</v>
      </c>
      <c r="E116" s="531">
        <f>'UAT2-Feb'!E119</f>
        <v>0</v>
      </c>
      <c r="F116" s="531">
        <f>'UAT2-Feb'!F119</f>
        <v>0</v>
      </c>
      <c r="G116" s="531">
        <f>'UAT2-Feb'!G119</f>
        <v>0</v>
      </c>
      <c r="H116" s="531">
        <f>'UAT2-Feb'!H119</f>
        <v>0</v>
      </c>
      <c r="I116" s="531">
        <f>'UAT2-Feb'!I119</f>
        <v>0</v>
      </c>
      <c r="J116" s="531">
        <f>'UAT2-Feb'!J119</f>
        <v>0</v>
      </c>
      <c r="K116" s="531">
        <f>'UAT2-Feb'!K119</f>
        <v>0</v>
      </c>
      <c r="L116" s="531">
        <f>'UAT2-Feb'!L119</f>
        <v>0</v>
      </c>
      <c r="M116" s="531">
        <f>'UAT2-Feb'!M119</f>
        <v>0</v>
      </c>
      <c r="N116" s="531">
        <f>'UAT2-Feb'!N119</f>
        <v>0</v>
      </c>
      <c r="O116" s="532">
        <f>'UAT2-Feb'!O119</f>
        <v>0</v>
      </c>
      <c r="P116" s="466">
        <f t="shared" si="39"/>
        <v>0</v>
      </c>
      <c r="Q116" s="341"/>
      <c r="R116" s="341"/>
      <c r="S116" s="341"/>
      <c r="T116" s="341"/>
      <c r="U116" s="341"/>
    </row>
    <row r="117" spans="1:21">
      <c r="A117" s="436" t="s">
        <v>434</v>
      </c>
      <c r="B117" s="531">
        <f>'UAT2-Feb'!B120</f>
        <v>0</v>
      </c>
      <c r="C117" s="531">
        <f>'UAT2-Feb'!C120</f>
        <v>0</v>
      </c>
      <c r="D117" s="531">
        <f>'UAT2-Feb'!D120</f>
        <v>0</v>
      </c>
      <c r="E117" s="531">
        <f>'UAT2-Feb'!E120</f>
        <v>0</v>
      </c>
      <c r="F117" s="531">
        <f>'UAT2-Feb'!F120</f>
        <v>0</v>
      </c>
      <c r="G117" s="531">
        <f>'UAT2-Feb'!G120</f>
        <v>0</v>
      </c>
      <c r="H117" s="531">
        <f>'UAT2-Feb'!H120</f>
        <v>0</v>
      </c>
      <c r="I117" s="531">
        <f>'UAT2-Feb'!I120</f>
        <v>0</v>
      </c>
      <c r="J117" s="531">
        <f>'UAT2-Feb'!J120</f>
        <v>0</v>
      </c>
      <c r="K117" s="531">
        <f>'UAT2-Feb'!K120</f>
        <v>0</v>
      </c>
      <c r="L117" s="531">
        <f>'UAT2-Feb'!L120</f>
        <v>0</v>
      </c>
      <c r="M117" s="531">
        <f>'UAT2-Feb'!M120</f>
        <v>0</v>
      </c>
      <c r="N117" s="531">
        <f>'UAT2-Feb'!N120</f>
        <v>0</v>
      </c>
      <c r="O117" s="532">
        <f>'UAT2-Feb'!O120</f>
        <v>0</v>
      </c>
      <c r="P117" s="466">
        <f t="shared" si="39"/>
        <v>0</v>
      </c>
    </row>
    <row r="118" spans="1:21">
      <c r="A118" s="436" t="s">
        <v>435</v>
      </c>
      <c r="B118" s="531">
        <f>'UAT2-Feb'!B121</f>
        <v>0</v>
      </c>
      <c r="C118" s="531">
        <f>'UAT2-Feb'!C121</f>
        <v>0</v>
      </c>
      <c r="D118" s="531">
        <f>'UAT2-Feb'!D121</f>
        <v>0</v>
      </c>
      <c r="E118" s="531">
        <f>'UAT2-Feb'!E121</f>
        <v>0</v>
      </c>
      <c r="F118" s="531">
        <f>'UAT2-Feb'!F121</f>
        <v>0</v>
      </c>
      <c r="G118" s="531">
        <f>'UAT2-Feb'!G121</f>
        <v>0</v>
      </c>
      <c r="H118" s="531">
        <f>'UAT2-Feb'!H121</f>
        <v>0</v>
      </c>
      <c r="I118" s="531">
        <f>'UAT2-Feb'!I121</f>
        <v>0</v>
      </c>
      <c r="J118" s="531">
        <f>'UAT2-Feb'!J121</f>
        <v>0</v>
      </c>
      <c r="K118" s="531">
        <f>'UAT2-Feb'!K121</f>
        <v>0</v>
      </c>
      <c r="L118" s="531">
        <f>'UAT2-Feb'!L121</f>
        <v>0</v>
      </c>
      <c r="M118" s="531">
        <f>'UAT2-Feb'!M121</f>
        <v>0</v>
      </c>
      <c r="N118" s="531">
        <f>'UAT2-Feb'!N121</f>
        <v>0</v>
      </c>
      <c r="O118" s="531">
        <f>'UAT2-Feb'!O121</f>
        <v>0</v>
      </c>
      <c r="P118" s="653">
        <f t="shared" si="39"/>
        <v>0</v>
      </c>
    </row>
    <row r="119" spans="1:21">
      <c r="A119" s="436"/>
      <c r="F119" s="5"/>
      <c r="G119" s="5"/>
      <c r="H119" s="5"/>
      <c r="I119" s="5"/>
      <c r="P119" s="339"/>
    </row>
    <row r="120" spans="1:21" ht="15.6">
      <c r="A120" s="404" t="s">
        <v>436</v>
      </c>
      <c r="P120" s="339"/>
    </row>
    <row r="121" spans="1:21">
      <c r="A121" s="6" t="s">
        <v>809</v>
      </c>
      <c r="B121" s="528">
        <f>IF(OR(B11="S",B11="C"),0,IF(OR(B11="1",B11="3"),ROUND(20*8*B16/365,5),ROUND(20*'New Hire'!C24*B16/365,5)))+'UAT2-Feb'!B124</f>
        <v>39.45205</v>
      </c>
      <c r="C121" s="528">
        <f>IF(OR(C11="S",C11="C"),0,IF(OR(C11="1",C11="3"),ROUND(20*8*C16/365,5),ROUND(20*'New Hire'!D24*C16/365,5)))+'UAT2-Feb'!C124</f>
        <v>35.506860000000003</v>
      </c>
      <c r="D121" s="528">
        <f>IF(OR(D11="S",D11="C"),0,IF(OR(D11="1",D11="3"),ROUND(20*8*D16/365,5),ROUND(20*'New Hire'!E24*D16/365,5)))+'UAT2-Feb'!D124</f>
        <v>36.383560000000003</v>
      </c>
      <c r="E121" s="528">
        <f>IF(OR(E11="S",E11="C"),0,IF(OR(E11="1",E11="3"),ROUND(20*8*E16/365,5),ROUND(20*'New Hire'!F24*E16/365,5)))+'UAT2-Feb'!E124</f>
        <v>39.45205</v>
      </c>
      <c r="F121" s="528">
        <f>IF(OR(F11="S",F11="C"),0,IF(OR(F11="1",F11="3"),ROUND(20*8*F16/365,5),ROUND(20*'New Hire'!G24*F16/365,5)))+'UAT2-Feb'!F124</f>
        <v>31.561640000000001</v>
      </c>
      <c r="G121" s="528">
        <f>IF(OR(G11="S",G11="C"),0,IF(OR(G11="1",G11="3"),ROUND(20*8*G16/365,5),ROUND(20*'New Hire'!H24*G16/365,5)))+'UAT2-Feb'!G124</f>
        <v>0</v>
      </c>
      <c r="H121" s="528">
        <f>IF(OR(H11="S",H11="C"),0,IF(OR(H11="1",H11="3"),ROUND(20*8*H16/365,5),ROUND(20*'New Hire'!I24*H16/365,5)))+'UAT2-Feb'!H124</f>
        <v>19.726030000000002</v>
      </c>
      <c r="I121" s="528">
        <f>IF(OR(I11="S",I11="C"),0,IF(OR(I11="1",I11="3"),ROUND(20*8*I16/365,5),ROUND(20*'New Hire'!J24*I16/365,5)))+'UAT2-Feb'!I124</f>
        <v>0</v>
      </c>
      <c r="J121" s="528">
        <f>IF(OR(J11="S",J11="C"),0,IF(OR(J11="1",J11="3"),ROUND(20*8*J16/365,5),ROUND(20*'New Hire'!K24*J16/365,5)))+'UAT2-Feb'!J124</f>
        <v>16.306840000000001</v>
      </c>
      <c r="K121" s="528">
        <f>IF(OR(K11="S",K11="C"),0,IF(OR(K11="1",K11="3"),ROUND(20*8*K16/365,5),ROUND(20*'New Hire'!L24*K16/365,5)))+'UAT2-Feb'!K124</f>
        <v>39.45205</v>
      </c>
      <c r="L121" s="528">
        <f>IF(OR(L11="S",L11="C"),0,IF(OR(L11="1",L11="3"),ROUND(20*8*L16/365,5),ROUND(20*'New Hire'!M24*L16/365,5)))+'UAT2-Feb'!L124</f>
        <v>39.45205</v>
      </c>
      <c r="M121" s="528">
        <f>IF(OR(M11="S",M11="C"),0,IF(OR(M11="1",M11="3"),ROUND(20*8*M16/365,5),ROUND(20*'New Hire'!N24*M16/365,5)))+'UAT2-Feb'!M124</f>
        <v>39.45205</v>
      </c>
      <c r="N121" s="528">
        <f>IF(OR(N11="S",N11="C"),0,IF(OR(N11="1",N11="3"),ROUND(20*8*N16/365,5),ROUND(20*'New Hire'!O24*N16/365,5)))+'UAT2-Feb'!N124</f>
        <v>39.45205</v>
      </c>
      <c r="O121" s="528">
        <f>IF(OR(O11="S",O11="C"),0,IF(OR(O11="1",O11="3"),ROUND(20*8*O16/365,5),ROUND(20*'New Hire'!P24*O16/365,5)))+'UAT2-Feb'!O124</f>
        <v>0</v>
      </c>
      <c r="P121" s="653">
        <f t="shared" si="39"/>
        <v>376.19722999999999</v>
      </c>
    </row>
    <row r="122" spans="1:21">
      <c r="A122" s="6" t="s">
        <v>810</v>
      </c>
      <c r="B122" s="529">
        <f>IF(OR(B11="S",B11="C"),0,IF(OR(B11="1",B11="3"),ROUND(10*8*B16/365,5),ROUND(10*'New Hire'!C24*B16/365,5)))+'UAT2-Feb'!B125</f>
        <v>19.726030000000002</v>
      </c>
      <c r="C122" s="529">
        <f>IF(OR(C11="S",C11="C"),0,IF(OR(C11="1",C11="3"),ROUND(10*8*C16/365,5),ROUND(10*'New Hire'!D24*C16/365,5)))+'UAT2-Feb'!C125</f>
        <v>17.753430000000002</v>
      </c>
      <c r="D122" s="529">
        <f>IF(OR(D11="S",D11="C"),0,IF(OR(D11="1",D11="3"),ROUND(10*8*D16/365,5),ROUND(10*'New Hire'!E24*D16/365,5)))+'UAT2-Feb'!D125</f>
        <v>18.191780000000001</v>
      </c>
      <c r="E122" s="529">
        <f>IF(OR(E11="S",E11="C"),0,IF(OR(E11="1",E11="3"),ROUND(10*8*E16/365,5),ROUND(10*'New Hire'!F24*E16/365,5)))+'UAT2-Feb'!E125</f>
        <v>19.726030000000002</v>
      </c>
      <c r="F122" s="529">
        <f>IF(OR(F11="S",F11="C"),0,IF(OR(F11="1",F11="3"),ROUND(10*8*F16/365,5),ROUND(10*'New Hire'!G24*F16/365,5)))+'UAT2-Feb'!F125</f>
        <v>15.78083</v>
      </c>
      <c r="G122" s="529">
        <f>IF(OR(G11="S",G11="C"),0,IF(OR(G11="1",G11="3"),ROUND(10*8*G16/365,5),ROUND(10*'New Hire'!H24*G16/365,5)))+'UAT2-Feb'!G125</f>
        <v>0</v>
      </c>
      <c r="H122" s="529">
        <f>IF(OR(H11="S",H11="C"),0,IF(OR(H11="1",H11="3"),ROUND(10*8*H16/365,5),ROUND(10*'New Hire'!I24*H16/365,5)))+'UAT2-Feb'!H125</f>
        <v>9.8630099999999992</v>
      </c>
      <c r="I122" s="529">
        <f>IF(OR(I11="S",I11="C"),0,IF(OR(I11="1",I11="3"),ROUND(10*8*I16/365,5),ROUND(10*'New Hire'!J24*I16/365,5)))+'UAT2-Feb'!I125</f>
        <v>0</v>
      </c>
      <c r="J122" s="529">
        <f>IF(OR(J11="S",J11="C"),0,IF(OR(J11="1",J11="3"),ROUND(10*8*J16/365,5),ROUND(10*'New Hire'!K24*J16/365,5)))+'UAT2-Feb'!J125</f>
        <v>8.1534200000000006</v>
      </c>
      <c r="K122" s="529">
        <f>IF(OR(K11="S",K11="C"),0,IF(OR(K11="1",K11="3"),ROUND(10*8*K16/365,5),ROUND(10*'New Hire'!L24*K16/365,5)))+'UAT2-Feb'!K125</f>
        <v>19.726030000000002</v>
      </c>
      <c r="L122" s="529">
        <f>IF(OR(L11="S",L11="C"),0,IF(OR(L11="1",L11="3"),ROUND(10*8*L16/365,5),ROUND(10*'New Hire'!M24*L16/365,5)))+'UAT2-Feb'!L125</f>
        <v>19.726030000000002</v>
      </c>
      <c r="M122" s="529">
        <f>IF(OR(M11="S",M11="C"),0,IF(OR(M11="1",M11="3"),ROUND(10*8*M16/365,5),ROUND(10*'New Hire'!N24*M16/365,5)))+'UAT2-Feb'!M125</f>
        <v>19.726030000000002</v>
      </c>
      <c r="N122" s="529">
        <f>IF(OR(N11="S",N11="C"),0,IF(OR(N11="1",N11="3"),ROUND(10*8*N16/365,5),ROUND(10*'New Hire'!O24*N16/365,5)))+'UAT2-Feb'!N125</f>
        <v>19.726030000000002</v>
      </c>
      <c r="O122" s="529">
        <f>IF(OR(O11="S",O11="C"),0,IF(OR(O11="1",O11="3"),ROUND(10*8*O16/365,5),ROUND(10*'New Hire'!P24*O16/365,5)))+'UAT2-Feb'!O125</f>
        <v>0</v>
      </c>
      <c r="P122" s="653">
        <f t="shared" si="39"/>
        <v>188.09865000000002</v>
      </c>
    </row>
    <row r="123" spans="1:21">
      <c r="A123" s="436" t="s">
        <v>779</v>
      </c>
      <c r="B123" s="528">
        <f>IF('New Hire'!C78=1,ROUND(25/10*B13%/365,5)*B16,0)+'UAT2-Feb'!B126</f>
        <v>0</v>
      </c>
      <c r="C123" s="528">
        <f>IF('New Hire'!D78=1,ROUND(25/10*C13%/365,5)*C16,0)+'UAT2-Feb'!C126</f>
        <v>0.36529999999999996</v>
      </c>
      <c r="D123" s="528">
        <f>IF('New Hire'!E78=1,ROUND(25/10*D13%/365,5)*D16,0)+'UAT2-Feb'!D126</f>
        <v>0</v>
      </c>
      <c r="E123" s="528">
        <f>IF('New Hire'!F78=1,ROUND(25/10*E13%/365,5)*E16,0)+'UAT2-Feb'!E126</f>
        <v>0</v>
      </c>
      <c r="F123" s="528">
        <f>IF('New Hire'!G78=1,ROUND(25/10*F13%/365,5)*F16,0)+'UAT2-Feb'!F126</f>
        <v>0.32486999999999994</v>
      </c>
      <c r="G123" s="528">
        <f>IF('New Hire'!H78=1,ROUND(25/10*G13%/365,5)*G16,0)+'UAT2-Feb'!G126</f>
        <v>0</v>
      </c>
      <c r="H123" s="528">
        <f>IF('New Hire'!I78=1,ROUND(25/10*H13%/365,5)*H16,0)+'UAT2-Feb'!H126</f>
        <v>0</v>
      </c>
      <c r="I123" s="528">
        <f>IF('New Hire'!J78=1,ROUND(25/10*I13%/365,5)*I16,0)+'UAT2-Feb'!I126</f>
        <v>0</v>
      </c>
      <c r="J123" s="528">
        <f>IF('New Hire'!K78=1,ROUND(25/10*J13%/365,5)*J16,0)+'UAT2-Feb'!J126</f>
        <v>0</v>
      </c>
      <c r="K123" s="528">
        <f>IF('New Hire'!L78=1,ROUND(25/10*K13%/365,5)*K16,0)+'UAT2-Feb'!K126</f>
        <v>0</v>
      </c>
      <c r="L123" s="528">
        <f>IF('New Hire'!M78=1,ROUND(25/10*L13%/365,5)*L16,0)+'UAT2-Feb'!L126</f>
        <v>0</v>
      </c>
      <c r="M123" s="528">
        <f>IF('New Hire'!N78=1,ROUND(25/10*M13%/365,5)*M16,0)+'UAT2-Feb'!M126</f>
        <v>0</v>
      </c>
      <c r="N123" s="528">
        <f>IF('New Hire'!O78=1,ROUND(25/10*N13%/365,5)*N16,0)+'UAT2-Feb'!N126</f>
        <v>0</v>
      </c>
      <c r="O123" s="528">
        <f>IF('New Hire'!P78=1,ROUND(25/10*O13%/365,5)*O16,0)+'UAT2-Feb'!O126</f>
        <v>0</v>
      </c>
      <c r="P123" s="653">
        <f t="shared" si="39"/>
        <v>0.69016999999999995</v>
      </c>
    </row>
    <row r="124" spans="1:21">
      <c r="A124" s="436" t="s">
        <v>780</v>
      </c>
      <c r="B124" s="529">
        <f>IF(B11="C",0,IF('New Hire'!C78=1,0,ROUND(5/5*B13%/365,5)*B16)+'UAT2-Feb'!B127)</f>
        <v>0.16258999999999996</v>
      </c>
      <c r="C124" s="529">
        <f>IF(C11="C",0,IF('New Hire'!D78=1,0,ROUND(5/5*C13%/365,5)*C16)+'UAT2-Feb'!C127)</f>
        <v>0</v>
      </c>
      <c r="D124" s="529">
        <f>IF(D11="C",0,IF('New Hire'!E78=1,0,ROUND(5/5*D13%/365,5)*D16)+'UAT2-Feb'!D127)</f>
        <v>0.14340999999999998</v>
      </c>
      <c r="E124" s="529">
        <f>IF(E11="C",0,IF('New Hire'!F78=1,0,ROUND(5/5*E13%/365,5)*E16)+'UAT2-Feb'!E127)</f>
        <v>0.16258999999999996</v>
      </c>
      <c r="F124" s="529">
        <f>IF(F11="C",0,IF('New Hire'!G78=1,0,ROUND(5/5*F13%/365,5)*F16)+'UAT2-Feb'!F127)</f>
        <v>0</v>
      </c>
      <c r="G124" s="529">
        <f>IF(G11="C",0,IF('New Hire'!H78=1,0,ROUND(5/5*G13%/365,5)*G16)+'UAT2-Feb'!G127)</f>
        <v>0</v>
      </c>
      <c r="H124" s="529">
        <f>IF(H11="C",0,IF('New Hire'!I78=1,0,ROUND(5/5*H13%/365,5)*H16)+'UAT2-Feb'!H127)</f>
        <v>8.113999999999999E-2</v>
      </c>
      <c r="I124" s="529">
        <f>IF(I11="C",0,IF('New Hire'!J78=1,0,ROUND(5/5*I13%/365,5)*I16)+'UAT2-Feb'!I127)</f>
        <v>8.6720000000000005E-2</v>
      </c>
      <c r="J124" s="529">
        <f>IF(J11="C",0,IF('New Hire'!K78=1,0,ROUND(5/5*J13%/365,5)*J16)+'UAT2-Feb'!J127)</f>
        <v>5.1460000000000006E-2</v>
      </c>
      <c r="K124" s="529">
        <f>IF(K11="C",0,IF('New Hire'!L78=1,0,ROUND(5/5*K13%/365,5)*K16)+'UAT2-Feb'!K127)</f>
        <v>0.16258999999999996</v>
      </c>
      <c r="L124" s="529">
        <f>IF(L11="C",0,IF('New Hire'!M78=1,0,ROUND(5/5*L13%/365,5)*L16)+'UAT2-Feb'!L127)</f>
        <v>0.16258999999999996</v>
      </c>
      <c r="M124" s="529">
        <f>IF(M11="C",0,IF('New Hire'!N78=1,0,ROUND(5/5*M13%/365,5)*M16)+'UAT2-Feb'!M127)</f>
        <v>0.16258999999999996</v>
      </c>
      <c r="N124" s="529">
        <f>IF(N11="C",0,IF('New Hire'!O78=1,0,ROUND(5/5*N13%/365,5)*N16)+'UAT2-Feb'!N127)</f>
        <v>0.16258999999999996</v>
      </c>
      <c r="O124" s="529">
        <f>IF(O11="C",0,IF('New Hire'!P78=1,0,ROUND(5/5*O13%/365,5)*O16)+'UAT2-Feb'!O127)</f>
        <v>0</v>
      </c>
      <c r="P124" s="653">
        <f t="shared" si="39"/>
        <v>1.3382699999999998</v>
      </c>
    </row>
    <row r="125" spans="1:21">
      <c r="A125" s="436"/>
      <c r="B125" s="526"/>
      <c r="C125" s="526"/>
      <c r="D125" s="526"/>
      <c r="E125" s="526"/>
      <c r="F125" s="526"/>
      <c r="G125" s="526"/>
      <c r="H125" s="526"/>
      <c r="I125" s="526"/>
      <c r="J125" s="526"/>
      <c r="K125" s="526"/>
      <c r="L125" s="526"/>
      <c r="M125" s="526"/>
      <c r="N125" s="526"/>
      <c r="O125" s="526"/>
      <c r="P125" s="339"/>
    </row>
    <row r="126" spans="1:21" ht="15.6">
      <c r="A126" s="404" t="s">
        <v>622</v>
      </c>
      <c r="P126" s="339"/>
    </row>
    <row r="127" spans="1:21">
      <c r="A127" s="436" t="s">
        <v>477</v>
      </c>
      <c r="B127" s="443">
        <f>IF(OR(B18="A",B18="B"),'New Hire'!C32,ROUND('New Hire'!C32*$B$4,0))</f>
        <v>5000000</v>
      </c>
      <c r="C127" s="443">
        <f>IF(OR(C18="A",C18="B"),'New Hire'!D32,ROUND('New Hire'!D32*$B$4,0))</f>
        <v>4500000</v>
      </c>
      <c r="D127" s="443">
        <f>IF(OR(D18="A",D18="B"),'New Hire'!E32,ROUND('New Hire'!E32*$B$4,0))</f>
        <v>7000000</v>
      </c>
      <c r="E127" s="443">
        <f>IF(OR(E18="A",E18="B"),'New Hire'!F32,ROUND('New Hire'!F32*$B$4,0))</f>
        <v>9000000</v>
      </c>
      <c r="F127" s="443">
        <f>IF(OR(F18="A",F18="B"),'New Hire'!G32,ROUND('New Hire'!G32*$B$4,0))</f>
        <v>14000000</v>
      </c>
      <c r="G127" s="443"/>
      <c r="H127" s="443">
        <f>IF(OR(H18="A",H18="B"),'New Hire'!I32,ROUND('New Hire'!I32*$B$4,0))</f>
        <v>116025000</v>
      </c>
      <c r="I127" s="443">
        <f>IF(OR(I18="A",I18="B"),'New Hire'!J32,ROUND('New Hire'!J32*$B$4,0))</f>
        <v>92820000</v>
      </c>
      <c r="J127" s="443">
        <f>IF(OR(J18="A",J18="B"),'New Hire'!K32,ROUND('New Hire'!K32*$B$4,0))</f>
        <v>50000000</v>
      </c>
      <c r="K127" s="443">
        <f>IF(OR(K18="A",K18="B"),'New Hire'!L32,ROUND('New Hire'!L32*$B$4,0))</f>
        <v>8000000</v>
      </c>
      <c r="L127" s="443">
        <f>IF(OR(L18="A",L18="B"),'New Hire'!M32,ROUND('New Hire'!M32*$B$4,0))</f>
        <v>90000000</v>
      </c>
      <c r="M127" s="443">
        <f>IF(OR(M18="A",M18="B"),'New Hire'!N32,ROUND('New Hire'!N32*$B$4,0))</f>
        <v>5000000</v>
      </c>
      <c r="N127" s="443">
        <f>IF(OR(N18="A",N18="B"),'New Hire'!O32,ROUND('New Hire'!O32*$B$4,0))</f>
        <v>6500000</v>
      </c>
      <c r="O127" s="443"/>
      <c r="P127" s="339">
        <f t="shared" si="39"/>
        <v>407845000</v>
      </c>
    </row>
    <row r="128" spans="1:21">
      <c r="A128" s="436" t="s">
        <v>750</v>
      </c>
      <c r="B128" s="443"/>
      <c r="C128" s="443"/>
      <c r="D128" s="443"/>
      <c r="E128" s="443"/>
      <c r="F128" s="443"/>
      <c r="G128" s="443">
        <f>'New Hire'!H32*B4</f>
        <v>4641000</v>
      </c>
      <c r="H128" s="443"/>
      <c r="I128" s="443"/>
      <c r="J128" s="443"/>
      <c r="K128" s="443"/>
      <c r="L128" s="443"/>
      <c r="M128" s="443"/>
      <c r="N128" s="443"/>
      <c r="O128" s="443">
        <f>'New Hire'!P32</f>
        <v>800000</v>
      </c>
      <c r="P128" s="339">
        <f t="shared" si="39"/>
        <v>5441000</v>
      </c>
    </row>
    <row r="129" spans="1:16">
      <c r="A129" s="442" t="s">
        <v>494</v>
      </c>
      <c r="B129" s="443">
        <f>IF(OR(B18="A",B18="B"),'New Hire'!C34,ROUND('New Hire'!C34*$B$4,0))</f>
        <v>500000</v>
      </c>
      <c r="C129" s="443">
        <f>IF(OR(C18="A",C18="B"),'New Hire'!D34,ROUND('New Hire'!D34*$B$4,0))</f>
        <v>450000</v>
      </c>
      <c r="D129" s="443">
        <f>IF(OR(D18="A",D18="B"),'New Hire'!E34,ROUND('New Hire'!E34*$B$4,0))</f>
        <v>700000</v>
      </c>
      <c r="E129" s="443">
        <f>IF(OR(E18="A",E18="B"),'New Hire'!F34,ROUND('New Hire'!F34*$B$4,0))</f>
        <v>0</v>
      </c>
      <c r="F129" s="443">
        <f>IF(OR(F18="A",F18="B"),'New Hire'!G34,ROUND('New Hire'!G34*$B$4,0))</f>
        <v>0</v>
      </c>
      <c r="G129" s="443">
        <f>IF(OR(G18="A",G18="B"),'New Hire'!H34,ROUND('New Hire'!H34*$B$4,0))</f>
        <v>0</v>
      </c>
      <c r="H129" s="443">
        <f>IF(OR(H18="A",H18="B"),'New Hire'!I34,ROUND('New Hire'!I34*$B$4,0))</f>
        <v>11602500</v>
      </c>
      <c r="I129" s="443">
        <f>IF(OR(I18="A",I18="B"),'New Hire'!J34,ROUND('New Hire'!J34*$B$4,0))</f>
        <v>0</v>
      </c>
      <c r="J129" s="443">
        <f>IF(OR(J18="A",J18="B"),'New Hire'!K34,ROUND('New Hire'!K34*$B$4,0))</f>
        <v>5000000</v>
      </c>
      <c r="K129" s="443">
        <f>IF(OR(K18="A",K18="B"),'New Hire'!L34,ROUND('New Hire'!L34*$B$4,0))</f>
        <v>800000</v>
      </c>
      <c r="L129" s="443">
        <f>IF(OR(L18="A",L18="B"),'New Hire'!M34,ROUND('New Hire'!M34*$B$4,0))</f>
        <v>0</v>
      </c>
      <c r="M129" s="443">
        <f>IF(OR(M18="A",M18="B"),'New Hire'!N34,ROUND('New Hire'!N34*$B$4,0))</f>
        <v>1000000</v>
      </c>
      <c r="N129" s="443">
        <f>IF(OR(N18="A",N18="B"),'New Hire'!O34,ROUND('New Hire'!O34*$B$4,0))</f>
        <v>1000000</v>
      </c>
      <c r="O129" s="443">
        <f>IF(OR(O18="A",O18="B"),'New Hire'!P34,ROUND('New Hire'!P34*$B$4,0))</f>
        <v>0</v>
      </c>
      <c r="P129" s="339">
        <f t="shared" si="39"/>
        <v>21052500</v>
      </c>
    </row>
    <row r="130" spans="1:16">
      <c r="A130" s="408" t="s">
        <v>566</v>
      </c>
      <c r="B130" s="443">
        <f>IF(OR(B18="A",B18="B"),'New Hire'!C36,ROUND('New Hire'!C36*$B$4,0))</f>
        <v>1000000</v>
      </c>
      <c r="C130" s="443">
        <f>IF(OR(C18="A",C18="B"),'New Hire'!D36,ROUND('New Hire'!D36*$B$4,0))</f>
        <v>900000</v>
      </c>
      <c r="D130" s="443">
        <f>IF(OR(D18="A",D18="B"),'New Hire'!E36,ROUND('New Hire'!E36*$B$4,0))</f>
        <v>1400000</v>
      </c>
      <c r="E130" s="443">
        <f>IF(OR(E18="A",E18="B"),'New Hire'!F36,ROUND('New Hire'!F36*$B$4,0))</f>
        <v>0</v>
      </c>
      <c r="F130" s="443">
        <f>IF(OR(F18="A",F18="B"),'New Hire'!G36,ROUND('New Hire'!G36*$B$4,0))</f>
        <v>0</v>
      </c>
      <c r="G130" s="443">
        <f>IF(OR(G18="A",G18="B"),'New Hire'!H36,ROUND('New Hire'!H36*$B$4,0))</f>
        <v>0</v>
      </c>
      <c r="H130" s="443">
        <f>IF(OR(H18="A",H18="B"),'New Hire'!I36,ROUND('New Hire'!I36*$B$4,0))</f>
        <v>23205000</v>
      </c>
      <c r="I130" s="443">
        <f>IF(OR(I18="A",I18="B"),'New Hire'!J36,ROUND('New Hire'!J36*$B$4,0))</f>
        <v>0</v>
      </c>
      <c r="J130" s="443">
        <f>IF(OR(J18="A",J18="B"),'New Hire'!K36,ROUND('New Hire'!K36*$B$4,0))</f>
        <v>10000000</v>
      </c>
      <c r="K130" s="443">
        <f>IF(OR(K18="A",K18="B"),'New Hire'!L36,ROUND('New Hire'!L36*$B$4,0))</f>
        <v>1600000</v>
      </c>
      <c r="L130" s="443">
        <f>IF(OR(L18="A",L18="B"),'New Hire'!M36,ROUND('New Hire'!M36*$B$4,0))</f>
        <v>0</v>
      </c>
      <c r="M130" s="443">
        <f>IF(OR(M18="A",M18="B"),'New Hire'!N36,ROUND('New Hire'!N36*$B$4,0))</f>
        <v>1500000</v>
      </c>
      <c r="N130" s="443">
        <f>IF(OR(N18="A",N18="B"),'New Hire'!O36,ROUND('New Hire'!O36*$B$4,0))</f>
        <v>1500000</v>
      </c>
      <c r="O130" s="443">
        <f>IF(OR(O18="A",O18="B"),'New Hire'!P36,ROUND('New Hire'!P36*$B$4,0))</f>
        <v>0</v>
      </c>
      <c r="P130" s="339">
        <f t="shared" si="39"/>
        <v>41105000</v>
      </c>
    </row>
    <row r="131" spans="1:16">
      <c r="A131" s="416" t="s">
        <v>493</v>
      </c>
      <c r="B131" s="443"/>
      <c r="C131" s="443"/>
      <c r="D131" s="443"/>
      <c r="E131" s="443"/>
      <c r="F131" s="443"/>
      <c r="G131" s="444"/>
      <c r="H131" s="444"/>
      <c r="I131" s="444"/>
      <c r="J131" s="444"/>
      <c r="K131" s="444"/>
      <c r="L131" s="444"/>
      <c r="M131" s="444"/>
      <c r="N131" s="444"/>
      <c r="O131" s="444"/>
      <c r="P131" s="339">
        <f t="shared" si="39"/>
        <v>0</v>
      </c>
    </row>
    <row r="132" spans="1:16">
      <c r="A132" s="405" t="s">
        <v>528</v>
      </c>
      <c r="B132" s="443"/>
      <c r="C132" s="443"/>
      <c r="D132" s="443"/>
      <c r="E132" s="443"/>
      <c r="F132" s="446"/>
      <c r="G132" s="446"/>
      <c r="H132" s="446"/>
      <c r="I132" s="446"/>
      <c r="J132" s="446"/>
      <c r="K132" s="446"/>
      <c r="L132" s="446"/>
      <c r="M132" s="446"/>
      <c r="N132" s="446"/>
      <c r="O132" s="446"/>
      <c r="P132" s="339">
        <f t="shared" si="39"/>
        <v>0</v>
      </c>
    </row>
    <row r="133" spans="1:16">
      <c r="A133" s="416" t="s">
        <v>592</v>
      </c>
      <c r="B133" s="326"/>
      <c r="C133" s="326"/>
      <c r="D133" s="326"/>
      <c r="E133" s="326"/>
      <c r="F133" s="326"/>
      <c r="G133" s="334"/>
      <c r="H133" s="326"/>
      <c r="I133" s="326"/>
      <c r="J133" s="446"/>
      <c r="K133" s="446"/>
      <c r="L133" s="446"/>
      <c r="M133" s="446"/>
      <c r="N133" s="446"/>
      <c r="O133" s="446"/>
      <c r="P133" s="339">
        <f t="shared" si="39"/>
        <v>0</v>
      </c>
    </row>
    <row r="134" spans="1:16">
      <c r="A134" s="408" t="s">
        <v>491</v>
      </c>
      <c r="B134" s="443"/>
      <c r="C134" s="326"/>
      <c r="D134" s="326"/>
      <c r="E134" s="447"/>
      <c r="F134" s="334"/>
      <c r="G134" s="334"/>
      <c r="H134" s="326"/>
      <c r="I134" s="326"/>
      <c r="J134" s="446"/>
      <c r="K134" s="326"/>
      <c r="L134" s="446"/>
      <c r="M134" s="446"/>
      <c r="N134" s="446"/>
      <c r="O134" s="446"/>
      <c r="P134" s="339">
        <f t="shared" si="39"/>
        <v>0</v>
      </c>
    </row>
    <row r="135" spans="1:16">
      <c r="A135" s="408" t="s">
        <v>497</v>
      </c>
      <c r="B135" s="443"/>
      <c r="C135" s="443"/>
      <c r="D135" s="443"/>
      <c r="E135" s="447"/>
      <c r="F135" s="334"/>
      <c r="G135" s="334"/>
      <c r="H135" s="326"/>
      <c r="I135" s="326"/>
      <c r="J135" s="446"/>
      <c r="K135" s="446"/>
      <c r="L135" s="446"/>
      <c r="M135" s="446"/>
      <c r="N135" s="446"/>
      <c r="O135" s="446"/>
      <c r="P135" s="339">
        <f t="shared" si="39"/>
        <v>0</v>
      </c>
    </row>
    <row r="136" spans="1:16">
      <c r="A136" s="6" t="s">
        <v>623</v>
      </c>
      <c r="B136" s="443"/>
      <c r="C136" s="443"/>
      <c r="D136" s="443"/>
      <c r="E136" s="447"/>
      <c r="F136" s="334"/>
      <c r="G136" s="334"/>
      <c r="H136" s="326"/>
      <c r="I136" s="326"/>
      <c r="J136" s="446"/>
      <c r="K136" s="446"/>
      <c r="L136" s="446"/>
      <c r="M136" s="446"/>
      <c r="N136" s="446"/>
      <c r="O136" s="446"/>
      <c r="P136" s="339">
        <f t="shared" si="39"/>
        <v>0</v>
      </c>
    </row>
    <row r="137" spans="1:16">
      <c r="A137" s="6" t="s">
        <v>624</v>
      </c>
      <c r="B137" s="443"/>
      <c r="C137" s="443"/>
      <c r="D137" s="443"/>
      <c r="E137" s="447"/>
      <c r="F137" s="334"/>
      <c r="G137" s="334"/>
      <c r="H137" s="326"/>
      <c r="I137" s="326"/>
      <c r="J137" s="446"/>
      <c r="K137" s="446"/>
      <c r="L137" s="446"/>
      <c r="M137" s="446"/>
      <c r="N137" s="446"/>
      <c r="O137" s="446"/>
      <c r="P137" s="339">
        <f t="shared" si="39"/>
        <v>0</v>
      </c>
    </row>
    <row r="138" spans="1:16">
      <c r="A138" s="6" t="s">
        <v>625</v>
      </c>
      <c r="B138" s="443"/>
      <c r="C138" s="443"/>
      <c r="D138" s="443"/>
      <c r="E138" s="443"/>
      <c r="F138" s="446"/>
      <c r="G138" s="447"/>
      <c r="H138" s="334"/>
      <c r="I138" s="334"/>
      <c r="J138" s="326"/>
      <c r="K138" s="326"/>
      <c r="L138" s="334"/>
      <c r="M138" s="446"/>
      <c r="N138" s="446"/>
      <c r="O138" s="446"/>
      <c r="P138" s="339">
        <f t="shared" si="39"/>
        <v>0</v>
      </c>
    </row>
    <row r="139" spans="1:16">
      <c r="A139" s="405" t="s">
        <v>606</v>
      </c>
      <c r="B139" s="443"/>
      <c r="C139" s="443"/>
      <c r="D139" s="443"/>
      <c r="E139" s="443"/>
      <c r="F139" s="446"/>
      <c r="G139" s="447"/>
      <c r="H139" s="334">
        <f>100*B4</f>
        <v>2320500</v>
      </c>
      <c r="I139" s="334">
        <f>100*B4</f>
        <v>2320500</v>
      </c>
      <c r="J139" s="326"/>
      <c r="K139" s="446"/>
      <c r="L139" s="334"/>
      <c r="M139" s="446"/>
      <c r="N139" s="446"/>
      <c r="O139" s="446"/>
      <c r="P139" s="339">
        <f t="shared" si="39"/>
        <v>4641000</v>
      </c>
    </row>
    <row r="140" spans="1:16">
      <c r="A140" s="405" t="s">
        <v>607</v>
      </c>
      <c r="B140" s="443"/>
      <c r="C140" s="443"/>
      <c r="D140" s="443"/>
      <c r="E140" s="443"/>
      <c r="F140" s="446"/>
      <c r="G140" s="447"/>
      <c r="H140" s="334">
        <f>200*B4</f>
        <v>4641000</v>
      </c>
      <c r="I140" s="334">
        <f>200*B4</f>
        <v>4641000</v>
      </c>
      <c r="J140" s="326"/>
      <c r="K140" s="446"/>
      <c r="L140" s="334"/>
      <c r="M140" s="446"/>
      <c r="N140" s="446"/>
      <c r="O140" s="446"/>
      <c r="P140" s="339">
        <f t="shared" si="39"/>
        <v>9282000</v>
      </c>
    </row>
    <row r="141" spans="1:16">
      <c r="A141" s="6" t="s">
        <v>1262</v>
      </c>
      <c r="B141" s="443">
        <f>B127-B139-B140</f>
        <v>5000000</v>
      </c>
      <c r="C141" s="443">
        <f t="shared" ref="C141:O141" si="40">C127-C139-C140</f>
        <v>4500000</v>
      </c>
      <c r="D141" s="443">
        <f t="shared" si="40"/>
        <v>7000000</v>
      </c>
      <c r="E141" s="443">
        <f t="shared" si="40"/>
        <v>9000000</v>
      </c>
      <c r="F141" s="443">
        <f t="shared" si="40"/>
        <v>14000000</v>
      </c>
      <c r="G141" s="443">
        <f t="shared" si="40"/>
        <v>0</v>
      </c>
      <c r="H141" s="443">
        <f t="shared" si="40"/>
        <v>109063500</v>
      </c>
      <c r="I141" s="443">
        <f t="shared" si="40"/>
        <v>85858500</v>
      </c>
      <c r="J141" s="443">
        <f t="shared" si="40"/>
        <v>50000000</v>
      </c>
      <c r="K141" s="443">
        <f t="shared" si="40"/>
        <v>8000000</v>
      </c>
      <c r="L141" s="443">
        <f t="shared" si="40"/>
        <v>90000000</v>
      </c>
      <c r="M141" s="443">
        <f t="shared" si="40"/>
        <v>5000000</v>
      </c>
      <c r="N141" s="443">
        <f t="shared" si="40"/>
        <v>6500000</v>
      </c>
      <c r="O141" s="443">
        <f t="shared" si="40"/>
        <v>0</v>
      </c>
      <c r="P141" s="339">
        <f t="shared" si="39"/>
        <v>393922000</v>
      </c>
    </row>
    <row r="142" spans="1:16">
      <c r="A142" s="6" t="s">
        <v>1261</v>
      </c>
      <c r="B142" s="443">
        <f t="shared" ref="B142:O142" si="41">B127-ROUND(B139/B13,0)-ROUND(B140/B13,0)</f>
        <v>5000000</v>
      </c>
      <c r="C142" s="443">
        <f t="shared" si="41"/>
        <v>4500000</v>
      </c>
      <c r="D142" s="443">
        <f t="shared" si="41"/>
        <v>7000000</v>
      </c>
      <c r="E142" s="443">
        <f t="shared" si="41"/>
        <v>9000000</v>
      </c>
      <c r="F142" s="443">
        <f t="shared" si="41"/>
        <v>14000000</v>
      </c>
      <c r="G142" s="443">
        <f t="shared" si="41"/>
        <v>0</v>
      </c>
      <c r="H142" s="443">
        <f t="shared" si="41"/>
        <v>102102000</v>
      </c>
      <c r="I142" s="443">
        <f t="shared" si="41"/>
        <v>83538000</v>
      </c>
      <c r="J142" s="443">
        <f t="shared" si="41"/>
        <v>50000000</v>
      </c>
      <c r="K142" s="443">
        <f t="shared" si="41"/>
        <v>8000000</v>
      </c>
      <c r="L142" s="443">
        <f t="shared" si="41"/>
        <v>90000000</v>
      </c>
      <c r="M142" s="443">
        <f t="shared" si="41"/>
        <v>5000000</v>
      </c>
      <c r="N142" s="443">
        <f t="shared" si="41"/>
        <v>6500000</v>
      </c>
      <c r="O142" s="443">
        <f t="shared" si="41"/>
        <v>0</v>
      </c>
      <c r="P142" s="339">
        <f t="shared" si="39"/>
        <v>384640000</v>
      </c>
    </row>
    <row r="143" spans="1:16">
      <c r="A143" s="6" t="s">
        <v>628</v>
      </c>
      <c r="B143" s="443">
        <f t="shared" ref="B143:O143" si="42">MIN(IF(OR(B18="A",B18="B"),0,ROUND((B142+B129+B130+B132)/$B$4*B13*$B$5,0)),27800000)</f>
        <v>0</v>
      </c>
      <c r="C143" s="443">
        <f t="shared" si="42"/>
        <v>0</v>
      </c>
      <c r="D143" s="443">
        <f t="shared" si="42"/>
        <v>0</v>
      </c>
      <c r="E143" s="443">
        <f t="shared" si="42"/>
        <v>0</v>
      </c>
      <c r="F143" s="443">
        <f t="shared" si="42"/>
        <v>0</v>
      </c>
      <c r="G143" s="443">
        <f t="shared" si="42"/>
        <v>0</v>
      </c>
      <c r="H143" s="443">
        <f t="shared" si="42"/>
        <v>27800000</v>
      </c>
      <c r="I143" s="443">
        <f t="shared" si="42"/>
        <v>27800000</v>
      </c>
      <c r="J143" s="443">
        <f t="shared" si="42"/>
        <v>0</v>
      </c>
      <c r="K143" s="443">
        <f t="shared" si="42"/>
        <v>0</v>
      </c>
      <c r="L143" s="443">
        <f t="shared" si="42"/>
        <v>0</v>
      </c>
      <c r="M143" s="443">
        <f t="shared" si="42"/>
        <v>0</v>
      </c>
      <c r="N143" s="443">
        <f t="shared" si="42"/>
        <v>0</v>
      </c>
      <c r="O143" s="443">
        <f t="shared" si="42"/>
        <v>0</v>
      </c>
      <c r="P143" s="339">
        <f t="shared" si="39"/>
        <v>55600000</v>
      </c>
    </row>
    <row r="144" spans="1:16">
      <c r="A144" s="6" t="s">
        <v>1201</v>
      </c>
      <c r="B144" s="443">
        <f t="shared" ref="B144:O144" si="43">IF(OR(B18="A",B18="B"),0,ROUND(ROUND((B142+B129+B130+B132)*B13,0)/$B$4,0)*$B$5)</f>
        <v>0</v>
      </c>
      <c r="C144" s="443">
        <f t="shared" si="43"/>
        <v>0</v>
      </c>
      <c r="D144" s="443">
        <f t="shared" si="43"/>
        <v>0</v>
      </c>
      <c r="E144" s="443">
        <f t="shared" si="43"/>
        <v>0</v>
      </c>
      <c r="F144" s="443">
        <f t="shared" si="43"/>
        <v>0</v>
      </c>
      <c r="G144" s="443">
        <f t="shared" si="43"/>
        <v>0</v>
      </c>
      <c r="H144" s="443">
        <f t="shared" si="43"/>
        <v>69325000</v>
      </c>
      <c r="I144" s="443">
        <f t="shared" si="43"/>
        <v>63450000</v>
      </c>
      <c r="J144" s="443">
        <f t="shared" si="43"/>
        <v>0</v>
      </c>
      <c r="K144" s="443">
        <f t="shared" si="43"/>
        <v>0</v>
      </c>
      <c r="L144" s="443">
        <f t="shared" si="43"/>
        <v>0</v>
      </c>
      <c r="M144" s="443">
        <f t="shared" si="43"/>
        <v>0</v>
      </c>
      <c r="N144" s="443">
        <f t="shared" si="43"/>
        <v>0</v>
      </c>
      <c r="O144" s="443">
        <f t="shared" si="43"/>
        <v>0</v>
      </c>
      <c r="P144" s="339">
        <f t="shared" si="39"/>
        <v>132775000</v>
      </c>
    </row>
    <row r="145" spans="1:16">
      <c r="A145" s="6" t="s">
        <v>657</v>
      </c>
      <c r="B145" s="5">
        <v>0</v>
      </c>
      <c r="C145" s="5">
        <v>0</v>
      </c>
      <c r="D145" s="5">
        <v>0</v>
      </c>
      <c r="E145" s="5">
        <v>0</v>
      </c>
      <c r="F145" s="5">
        <v>0</v>
      </c>
      <c r="G145" s="5">
        <v>0</v>
      </c>
      <c r="H145" s="5">
        <v>0</v>
      </c>
      <c r="I145" s="5">
        <v>0</v>
      </c>
      <c r="J145" s="5">
        <v>0</v>
      </c>
      <c r="K145" s="5">
        <v>0</v>
      </c>
      <c r="L145" s="5">
        <v>0</v>
      </c>
      <c r="M145" s="5">
        <v>0</v>
      </c>
      <c r="N145" s="5">
        <v>0</v>
      </c>
      <c r="O145" s="5">
        <v>0</v>
      </c>
      <c r="P145" s="339">
        <f t="shared" si="39"/>
        <v>0</v>
      </c>
    </row>
  </sheetData>
  <mergeCells count="5">
    <mergeCell ref="G6:J6"/>
    <mergeCell ref="X6:AA6"/>
    <mergeCell ref="P7:P8"/>
    <mergeCell ref="X9:AA12"/>
    <mergeCell ref="X42:AA42"/>
  </mergeCells>
  <phoneticPr fontId="104" type="noConversion"/>
  <pageMargins left="0.75" right="0.75" top="1" bottom="1" header="0.5" footer="0.5"/>
  <pageSetup paperSize="9" orientation="portrait" verticalDpi="90" r:id="rId1"/>
  <headerFooter alignWithMargins="0"/>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C126"/>
  <sheetViews>
    <sheetView workbookViewId="0">
      <pane xSplit="1" ySplit="9" topLeftCell="B10" activePane="bottomRight" state="frozen"/>
      <selection pane="topRight" activeCell="B1" sqref="B1"/>
      <selection pane="bottomLeft" activeCell="A10" sqref="A10"/>
      <selection pane="bottomRight" activeCell="I60" sqref="I60"/>
    </sheetView>
  </sheetViews>
  <sheetFormatPr defaultRowHeight="13.8"/>
  <cols>
    <col min="1" max="1" width="31" style="5" bestFit="1" customWidth="1"/>
    <col min="2" max="5" width="10.77734375" style="5" customWidth="1"/>
    <col min="6" max="8" width="10.77734375" customWidth="1"/>
    <col min="9" max="9" width="11.6640625" bestFit="1" customWidth="1"/>
    <col min="10" max="15" width="10.77734375" customWidth="1"/>
    <col min="16" max="16" width="12.6640625" bestFit="1" customWidth="1"/>
    <col min="17" max="18" width="12.77734375" customWidth="1"/>
    <col min="19" max="21" width="10.77734375" customWidth="1"/>
    <col min="22" max="26" width="9.33203125" style="5" customWidth="1"/>
    <col min="27" max="27" width="10.77734375" style="5" bestFit="1" customWidth="1"/>
    <col min="28" max="29" width="9.33203125" style="5" customWidth="1"/>
  </cols>
  <sheetData>
    <row r="1" spans="1:29" s="3" customFormat="1" ht="20.399999999999999">
      <c r="A1" s="104" t="s">
        <v>6</v>
      </c>
      <c r="B1" s="104"/>
      <c r="C1" s="104"/>
      <c r="D1" s="104"/>
      <c r="E1" s="104"/>
      <c r="F1" s="440"/>
      <c r="L1" s="8"/>
      <c r="X1" s="1"/>
      <c r="Y1" s="1"/>
      <c r="Z1" s="1"/>
      <c r="AA1" s="1"/>
      <c r="AB1" s="1"/>
      <c r="AC1" s="1"/>
    </row>
    <row r="2" spans="1:29" s="3" customFormat="1" ht="12.75" customHeight="1">
      <c r="B2" s="110"/>
      <c r="C2" s="110"/>
      <c r="D2" s="110"/>
      <c r="E2" s="109"/>
      <c r="V2" s="22"/>
      <c r="W2" s="22"/>
      <c r="X2" s="22"/>
      <c r="Y2" s="22"/>
      <c r="Z2" s="22"/>
      <c r="AA2" s="2"/>
      <c r="AC2" s="2"/>
    </row>
    <row r="3" spans="1:29" s="3" customFormat="1" ht="30">
      <c r="A3" s="106" t="s">
        <v>1307</v>
      </c>
      <c r="B3" s="110"/>
      <c r="C3" s="110"/>
      <c r="D3" s="110"/>
      <c r="E3" s="106"/>
      <c r="V3" s="22"/>
      <c r="W3" s="22"/>
      <c r="X3" s="22"/>
      <c r="Y3" s="22"/>
      <c r="Z3" s="22"/>
      <c r="AA3" s="2"/>
      <c r="AC3" s="2"/>
    </row>
    <row r="4" spans="1:29" s="110" customFormat="1">
      <c r="A4" s="110" t="s">
        <v>1265</v>
      </c>
      <c r="B4" s="361">
        <v>23205</v>
      </c>
    </row>
    <row r="5" spans="1:29" s="110" customFormat="1">
      <c r="A5" s="110" t="s">
        <v>1268</v>
      </c>
      <c r="B5" s="361">
        <v>23500</v>
      </c>
    </row>
    <row r="6" spans="1:29" s="3" customFormat="1" ht="18" customHeight="1">
      <c r="A6" s="321">
        <v>43585</v>
      </c>
      <c r="B6" s="110"/>
      <c r="C6" s="110"/>
      <c r="D6" s="110"/>
      <c r="G6" s="748" t="s">
        <v>52</v>
      </c>
      <c r="H6" s="748"/>
      <c r="I6" s="748"/>
      <c r="J6" s="748"/>
      <c r="V6" s="22"/>
      <c r="W6" s="22"/>
      <c r="X6" s="747" t="s">
        <v>65</v>
      </c>
      <c r="Y6" s="747"/>
      <c r="Z6" s="747"/>
      <c r="AA6" s="747"/>
      <c r="AB6" s="2"/>
      <c r="AC6" s="2"/>
    </row>
    <row r="7" spans="1:29" s="4" customFormat="1">
      <c r="A7" s="402"/>
      <c r="B7" s="317" t="s">
        <v>34</v>
      </c>
      <c r="C7" s="318" t="s">
        <v>35</v>
      </c>
      <c r="D7" s="318" t="s">
        <v>36</v>
      </c>
      <c r="E7" s="318" t="s">
        <v>37</v>
      </c>
      <c r="F7" s="318" t="s">
        <v>38</v>
      </c>
      <c r="G7" s="318" t="s">
        <v>39</v>
      </c>
      <c r="H7" s="318" t="s">
        <v>40</v>
      </c>
      <c r="I7" s="318" t="s">
        <v>41</v>
      </c>
      <c r="J7" s="318" t="s">
        <v>42</v>
      </c>
      <c r="K7" s="318" t="s">
        <v>43</v>
      </c>
      <c r="L7" s="318" t="s">
        <v>44</v>
      </c>
      <c r="M7" s="318" t="s">
        <v>45</v>
      </c>
      <c r="N7" s="318" t="s">
        <v>46</v>
      </c>
      <c r="O7" s="318" t="s">
        <v>47</v>
      </c>
      <c r="P7" s="758" t="s">
        <v>498</v>
      </c>
      <c r="Q7" s="343" t="s">
        <v>514</v>
      </c>
      <c r="R7" s="343" t="s">
        <v>515</v>
      </c>
      <c r="S7" s="343" t="s">
        <v>517</v>
      </c>
      <c r="T7" s="343" t="s">
        <v>519</v>
      </c>
      <c r="U7" s="343" t="s">
        <v>521</v>
      </c>
      <c r="V7" s="344"/>
      <c r="W7" s="345"/>
      <c r="X7" s="345"/>
      <c r="Y7" s="345"/>
      <c r="Z7" s="345"/>
      <c r="AA7" s="345"/>
      <c r="AB7" s="345"/>
      <c r="AC7" s="346"/>
    </row>
    <row r="8" spans="1:29" ht="15.6">
      <c r="A8" s="403"/>
      <c r="B8" s="111">
        <f>'New Hire'!C6</f>
        <v>91999901</v>
      </c>
      <c r="C8" s="333">
        <f>'New Hire'!D6</f>
        <v>91999902</v>
      </c>
      <c r="D8" s="333">
        <f>'New Hire'!E6</f>
        <v>91999903</v>
      </c>
      <c r="E8" s="333">
        <f>'New Hire'!F6</f>
        <v>91999904</v>
      </c>
      <c r="F8" s="333">
        <f>'New Hire'!G6</f>
        <v>91999905</v>
      </c>
      <c r="G8" s="333">
        <f>'New Hire'!H6</f>
        <v>91999906</v>
      </c>
      <c r="H8" s="333">
        <f>'New Hire'!I6</f>
        <v>91999907</v>
      </c>
      <c r="I8" s="333">
        <f>'New Hire'!J6</f>
        <v>91999908</v>
      </c>
      <c r="J8" s="333">
        <f>'New Hire'!K6</f>
        <v>91999909</v>
      </c>
      <c r="K8" s="333">
        <f>'New Hire'!L6</f>
        <v>91999910</v>
      </c>
      <c r="L8" s="333">
        <f>'New Hire'!M6</f>
        <v>91999911</v>
      </c>
      <c r="M8" s="333">
        <f>'New Hire'!N6</f>
        <v>91999912</v>
      </c>
      <c r="N8" s="333">
        <f>'New Hire'!O6</f>
        <v>91999913</v>
      </c>
      <c r="O8" s="333">
        <f>'New Hire'!P6</f>
        <v>91999914</v>
      </c>
      <c r="P8" s="759"/>
      <c r="Q8" s="343" t="s">
        <v>513</v>
      </c>
      <c r="R8" s="343" t="s">
        <v>516</v>
      </c>
      <c r="S8" s="343" t="s">
        <v>518</v>
      </c>
      <c r="T8" s="343" t="s">
        <v>520</v>
      </c>
      <c r="U8" s="343" t="s">
        <v>522</v>
      </c>
      <c r="V8" s="47"/>
      <c r="W8" s="48"/>
      <c r="X8" s="20"/>
      <c r="Y8" s="20"/>
      <c r="Z8" s="20"/>
      <c r="AA8" s="20"/>
      <c r="AB8" s="20"/>
      <c r="AC8" s="15"/>
    </row>
    <row r="9" spans="1:29" ht="12.75" customHeight="1">
      <c r="A9" s="404" t="s">
        <v>63</v>
      </c>
      <c r="B9" s="23"/>
      <c r="C9" s="19"/>
      <c r="D9" s="19"/>
      <c r="E9" s="20"/>
      <c r="F9" s="19"/>
      <c r="G9" s="19"/>
      <c r="H9" s="21"/>
      <c r="I9" s="19"/>
      <c r="J9" s="19"/>
      <c r="K9" s="20"/>
      <c r="L9" s="20"/>
      <c r="M9" s="20"/>
      <c r="N9" s="20"/>
      <c r="O9" s="15"/>
      <c r="P9" s="15"/>
      <c r="Q9" s="20"/>
      <c r="R9" s="20"/>
      <c r="S9" s="20"/>
      <c r="T9" s="20"/>
      <c r="U9" s="20"/>
      <c r="V9" s="25"/>
      <c r="W9" s="26"/>
      <c r="X9" s="749" t="s">
        <v>601</v>
      </c>
      <c r="Y9" s="750"/>
      <c r="Z9" s="750"/>
      <c r="AA9" s="751"/>
      <c r="AB9" s="27"/>
      <c r="AC9" s="18"/>
    </row>
    <row r="10" spans="1:29">
      <c r="A10" s="417" t="s">
        <v>478</v>
      </c>
      <c r="B10" s="379">
        <v>43556</v>
      </c>
      <c r="C10" s="379">
        <v>43556</v>
      </c>
      <c r="D10" s="379">
        <v>43556</v>
      </c>
      <c r="E10" s="379">
        <v>43556</v>
      </c>
      <c r="F10" s="379">
        <v>43556</v>
      </c>
      <c r="G10" s="379">
        <v>43556</v>
      </c>
      <c r="H10" s="379">
        <v>43556</v>
      </c>
      <c r="I10" s="379">
        <v>43556</v>
      </c>
      <c r="J10" s="379">
        <v>43556</v>
      </c>
      <c r="K10" s="379">
        <v>43556</v>
      </c>
      <c r="L10" s="379">
        <v>43556</v>
      </c>
      <c r="M10" s="379">
        <v>43556</v>
      </c>
      <c r="N10" s="379">
        <v>43556</v>
      </c>
      <c r="O10" s="380">
        <v>43556</v>
      </c>
      <c r="P10" s="15"/>
      <c r="Q10" s="20"/>
      <c r="R10" s="20"/>
      <c r="S10" s="20"/>
      <c r="T10" s="20"/>
      <c r="U10" s="20"/>
      <c r="V10" s="28"/>
      <c r="W10" s="29"/>
      <c r="X10" s="752"/>
      <c r="Y10" s="753"/>
      <c r="Z10" s="753"/>
      <c r="AA10" s="754"/>
      <c r="AB10" s="30"/>
      <c r="AC10" s="15"/>
    </row>
    <row r="11" spans="1:29" ht="12.75" customHeight="1">
      <c r="A11" s="98" t="s">
        <v>489</v>
      </c>
      <c r="B11" s="381" t="str">
        <f>'New Hire'!C10</f>
        <v>1</v>
      </c>
      <c r="C11" s="382" t="str">
        <f>'New Hire'!D10</f>
        <v>P</v>
      </c>
      <c r="D11" s="382" t="str">
        <f>'New Hire'!E10</f>
        <v>3</v>
      </c>
      <c r="E11" s="382" t="str">
        <f>'New Hire'!F10</f>
        <v>3</v>
      </c>
      <c r="F11" s="382">
        <f>'New Hire'!G10</f>
        <v>4</v>
      </c>
      <c r="G11" s="382" t="str">
        <f>'New Hire'!H10</f>
        <v>C</v>
      </c>
      <c r="H11" s="382" t="str">
        <f>'New Hire'!I10</f>
        <v>I</v>
      </c>
      <c r="I11" s="382" t="str">
        <f>'New Hire'!J10</f>
        <v>S</v>
      </c>
      <c r="J11" s="382" t="str">
        <f>'New Hire'!K10</f>
        <v>P</v>
      </c>
      <c r="K11" s="382" t="str">
        <f>'New Hire'!L10</f>
        <v>1</v>
      </c>
      <c r="L11" s="382" t="str">
        <f>'New Hire'!M10</f>
        <v>1</v>
      </c>
      <c r="M11" s="382">
        <f>'New Hire'!N10</f>
        <v>3</v>
      </c>
      <c r="N11" s="382">
        <f>'New Hire'!O10</f>
        <v>3</v>
      </c>
      <c r="O11" s="383" t="str">
        <f>'New Hire'!P10</f>
        <v>C</v>
      </c>
      <c r="P11" s="15"/>
      <c r="Q11" s="20"/>
      <c r="R11" s="20"/>
      <c r="S11" s="20"/>
      <c r="T11" s="20"/>
      <c r="U11" s="20"/>
      <c r="V11" s="32"/>
      <c r="W11" s="20"/>
      <c r="X11" s="752"/>
      <c r="Y11" s="753"/>
      <c r="Z11" s="753"/>
      <c r="AA11" s="754"/>
      <c r="AB11" s="20"/>
      <c r="AC11" s="15"/>
    </row>
    <row r="12" spans="1:29" ht="12.75" customHeight="1">
      <c r="A12" s="98" t="s">
        <v>490</v>
      </c>
      <c r="B12" s="384" t="str">
        <f>'New Hire'!C11</f>
        <v>;P</v>
      </c>
      <c r="C12" s="385" t="str">
        <f>'New Hire'!D11</f>
        <v>;A</v>
      </c>
      <c r="D12" s="385" t="str">
        <f>'New Hire'!E11</f>
        <v>;E</v>
      </c>
      <c r="E12" s="385" t="str">
        <f>'New Hire'!F11</f>
        <v>;I</v>
      </c>
      <c r="F12" s="385" t="str">
        <f>'New Hire'!G11</f>
        <v>;P</v>
      </c>
      <c r="G12" s="385" t="str">
        <f>'New Hire'!H11</f>
        <v>;A</v>
      </c>
      <c r="H12" s="385" t="str">
        <f>'New Hire'!I11</f>
        <v>;A</v>
      </c>
      <c r="I12" s="385" t="str">
        <f>'New Hire'!J11</f>
        <v>;V</v>
      </c>
      <c r="J12" s="385" t="str">
        <f>'New Hire'!K11</f>
        <v>;P</v>
      </c>
      <c r="K12" s="385" t="str">
        <f>'New Hire'!L11</f>
        <v>;A</v>
      </c>
      <c r="L12" s="385" t="str">
        <f>'New Hire'!M11</f>
        <v>;I</v>
      </c>
      <c r="M12" s="385" t="str">
        <f>'New Hire'!N11</f>
        <v>;P</v>
      </c>
      <c r="N12" s="385" t="str">
        <f>'New Hire'!O11</f>
        <v>;P</v>
      </c>
      <c r="O12" s="386" t="str">
        <f>'New Hire'!P11</f>
        <v>;I</v>
      </c>
      <c r="P12" s="15"/>
      <c r="Q12" s="20"/>
      <c r="R12" s="20"/>
      <c r="S12" s="20"/>
      <c r="T12" s="20"/>
      <c r="U12" s="20"/>
      <c r="V12" s="32"/>
      <c r="W12" s="20"/>
      <c r="X12" s="755"/>
      <c r="Y12" s="756"/>
      <c r="Z12" s="756"/>
      <c r="AA12" s="757"/>
      <c r="AB12" s="20"/>
      <c r="AC12" s="15"/>
    </row>
    <row r="13" spans="1:29">
      <c r="A13" s="99" t="s">
        <v>476</v>
      </c>
      <c r="B13" s="648">
        <f>'New Hire'!C27</f>
        <v>1</v>
      </c>
      <c r="C13" s="649">
        <f>'New Hire'!D27</f>
        <v>0.9</v>
      </c>
      <c r="D13" s="649">
        <f>'New Hire'!E27</f>
        <v>1</v>
      </c>
      <c r="E13" s="649">
        <f>'New Hire'!F27</f>
        <v>1</v>
      </c>
      <c r="F13" s="649">
        <f>'New Hire'!G27</f>
        <v>0.8</v>
      </c>
      <c r="G13" s="649">
        <f>'New Hire'!H27</f>
        <v>1</v>
      </c>
      <c r="H13" s="649">
        <f>'New Hire'!I27</f>
        <v>0.5</v>
      </c>
      <c r="I13" s="649">
        <f>'New Hire'!J27</f>
        <v>0.75</v>
      </c>
      <c r="J13" s="649">
        <f>'New Hire'!K27</f>
        <v>0.6</v>
      </c>
      <c r="K13" s="649">
        <f>'New Hire'!L27</f>
        <v>1</v>
      </c>
      <c r="L13" s="649">
        <f>'New Hire'!M27</f>
        <v>1</v>
      </c>
      <c r="M13" s="649">
        <f>'New Hire'!N27</f>
        <v>1</v>
      </c>
      <c r="N13" s="649">
        <f>'New Hire'!O27</f>
        <v>1</v>
      </c>
      <c r="O13" s="652">
        <f>'New Hire'!P27</f>
        <v>1</v>
      </c>
      <c r="P13" s="15"/>
      <c r="Q13" s="20"/>
      <c r="R13" s="20"/>
      <c r="S13" s="20"/>
      <c r="T13" s="20"/>
      <c r="U13" s="20"/>
      <c r="V13" s="23"/>
      <c r="W13" s="19"/>
      <c r="X13" s="19"/>
      <c r="Y13" s="19"/>
      <c r="Z13" s="19"/>
      <c r="AA13" s="19"/>
      <c r="AB13" s="19"/>
      <c r="AC13" s="31"/>
    </row>
    <row r="14" spans="1:29">
      <c r="A14" s="98" t="s">
        <v>479</v>
      </c>
      <c r="B14" s="388">
        <f t="shared" ref="B14:O14" si="0">NETWORKDAYS(B10,$A$6)</f>
        <v>22</v>
      </c>
      <c r="C14" s="332">
        <f t="shared" si="0"/>
        <v>22</v>
      </c>
      <c r="D14" s="332">
        <f t="shared" si="0"/>
        <v>22</v>
      </c>
      <c r="E14" s="332">
        <f t="shared" si="0"/>
        <v>22</v>
      </c>
      <c r="F14" s="332">
        <f t="shared" si="0"/>
        <v>22</v>
      </c>
      <c r="G14" s="332">
        <f t="shared" si="0"/>
        <v>22</v>
      </c>
      <c r="H14" s="332">
        <f t="shared" si="0"/>
        <v>22</v>
      </c>
      <c r="I14" s="332">
        <f t="shared" si="0"/>
        <v>22</v>
      </c>
      <c r="J14" s="332">
        <f t="shared" si="0"/>
        <v>22</v>
      </c>
      <c r="K14" s="332">
        <f t="shared" si="0"/>
        <v>22</v>
      </c>
      <c r="L14" s="332">
        <f t="shared" si="0"/>
        <v>22</v>
      </c>
      <c r="M14" s="332">
        <f t="shared" si="0"/>
        <v>22</v>
      </c>
      <c r="N14" s="332">
        <f t="shared" si="0"/>
        <v>22</v>
      </c>
      <c r="O14" s="389">
        <f t="shared" si="0"/>
        <v>22</v>
      </c>
      <c r="P14" s="15"/>
      <c r="Q14" s="20"/>
      <c r="R14" s="20"/>
      <c r="S14" s="20"/>
      <c r="T14" s="20"/>
      <c r="U14" s="20"/>
      <c r="V14" s="23"/>
      <c r="W14" s="19"/>
      <c r="X14" s="19"/>
      <c r="Y14" s="19"/>
      <c r="Z14" s="19"/>
      <c r="AA14" s="19"/>
      <c r="AB14" s="19"/>
      <c r="AC14" s="31"/>
    </row>
    <row r="15" spans="1:29">
      <c r="A15" s="417" t="s">
        <v>632</v>
      </c>
      <c r="B15" s="332">
        <f>NETWORKDAYS(EOMONTH($A$6,-1)+1,EOMONTH($A$6,0))</f>
        <v>22</v>
      </c>
      <c r="C15" s="332">
        <f t="shared" ref="C15:O15" si="1">NETWORKDAYS(EOMONTH($A$6,-1)+1,EOMONTH($A$6,0))</f>
        <v>22</v>
      </c>
      <c r="D15" s="332">
        <f t="shared" si="1"/>
        <v>22</v>
      </c>
      <c r="E15" s="332">
        <f t="shared" si="1"/>
        <v>22</v>
      </c>
      <c r="F15" s="332">
        <f t="shared" si="1"/>
        <v>22</v>
      </c>
      <c r="G15" s="332">
        <f t="shared" si="1"/>
        <v>22</v>
      </c>
      <c r="H15" s="332">
        <f t="shared" si="1"/>
        <v>22</v>
      </c>
      <c r="I15" s="332">
        <f t="shared" si="1"/>
        <v>22</v>
      </c>
      <c r="J15" s="332">
        <f t="shared" si="1"/>
        <v>22</v>
      </c>
      <c r="K15" s="332">
        <f t="shared" si="1"/>
        <v>22</v>
      </c>
      <c r="L15" s="332">
        <f t="shared" si="1"/>
        <v>22</v>
      </c>
      <c r="M15" s="332">
        <f t="shared" si="1"/>
        <v>22</v>
      </c>
      <c r="N15" s="332">
        <f t="shared" si="1"/>
        <v>22</v>
      </c>
      <c r="O15" s="389">
        <f t="shared" si="1"/>
        <v>22</v>
      </c>
      <c r="P15" s="15"/>
      <c r="Q15" s="20"/>
      <c r="R15" s="20"/>
      <c r="S15" s="20"/>
      <c r="T15" s="20"/>
      <c r="U15" s="20"/>
      <c r="V15" s="23"/>
      <c r="W15" s="19"/>
      <c r="X15" s="19"/>
      <c r="Y15" s="19"/>
      <c r="Z15" s="19"/>
      <c r="AA15" s="19"/>
      <c r="AB15" s="19"/>
      <c r="AC15" s="31"/>
    </row>
    <row r="16" spans="1:29">
      <c r="A16" s="98" t="s">
        <v>511</v>
      </c>
      <c r="B16" s="390">
        <f t="shared" ref="B16:O16" si="2">_xlfn.DAYS($A$6,B10)+1</f>
        <v>30</v>
      </c>
      <c r="C16" s="329">
        <f t="shared" si="2"/>
        <v>30</v>
      </c>
      <c r="D16" s="329">
        <f t="shared" si="2"/>
        <v>30</v>
      </c>
      <c r="E16" s="329">
        <f t="shared" si="2"/>
        <v>30</v>
      </c>
      <c r="F16" s="329">
        <f t="shared" si="2"/>
        <v>30</v>
      </c>
      <c r="G16" s="329">
        <f t="shared" si="2"/>
        <v>30</v>
      </c>
      <c r="H16" s="329">
        <f t="shared" si="2"/>
        <v>30</v>
      </c>
      <c r="I16" s="329">
        <f t="shared" si="2"/>
        <v>30</v>
      </c>
      <c r="J16" s="329">
        <f t="shared" si="2"/>
        <v>30</v>
      </c>
      <c r="K16" s="329">
        <f t="shared" si="2"/>
        <v>30</v>
      </c>
      <c r="L16" s="329">
        <f t="shared" si="2"/>
        <v>30</v>
      </c>
      <c r="M16" s="329">
        <f t="shared" si="2"/>
        <v>30</v>
      </c>
      <c r="N16" s="329">
        <f t="shared" si="2"/>
        <v>30</v>
      </c>
      <c r="O16" s="391">
        <f t="shared" si="2"/>
        <v>30</v>
      </c>
      <c r="P16" s="15"/>
      <c r="Q16" s="20"/>
      <c r="R16" s="20"/>
      <c r="S16" s="20"/>
      <c r="T16" s="20"/>
      <c r="U16" s="20"/>
      <c r="V16" s="23"/>
      <c r="W16" s="19"/>
      <c r="X16" s="19"/>
      <c r="Y16" s="19"/>
      <c r="Z16" s="19"/>
      <c r="AA16" s="19"/>
      <c r="AB16" s="19"/>
      <c r="AC16" s="31"/>
    </row>
    <row r="17" spans="1:29">
      <c r="A17" s="98" t="s">
        <v>531</v>
      </c>
      <c r="B17" s="330">
        <f>DATEDIF('New Hire'!C41,$A$6,"Y")</f>
        <v>9</v>
      </c>
      <c r="C17" s="331">
        <f>DATEDIF('New Hire'!D41,$A$6,"Y")</f>
        <v>13</v>
      </c>
      <c r="D17" s="331">
        <f>DATEDIF('New Hire'!E41,$A$6,"Y")</f>
        <v>0</v>
      </c>
      <c r="E17" s="331">
        <f>DATEDIF('New Hire'!F41,$A$6,"Y")</f>
        <v>3</v>
      </c>
      <c r="F17" s="331">
        <f>DATEDIF('New Hire'!G41,$A$6,"Y")</f>
        <v>9</v>
      </c>
      <c r="G17" s="331">
        <f>DATEDIF('New Hire'!H41,$A$6,"Y")</f>
        <v>0</v>
      </c>
      <c r="H17" s="331">
        <f>DATEDIF('New Hire'!I41,$A$6,"Y")</f>
        <v>14</v>
      </c>
      <c r="I17" s="331">
        <f>DATEDIF('New Hire'!J41,$A$6,"Y")</f>
        <v>0</v>
      </c>
      <c r="J17" s="331">
        <f>DATEDIF('New Hire'!K41,$A$6,"Y")</f>
        <v>0</v>
      </c>
      <c r="K17" s="331">
        <f>DATEDIF('New Hire'!L41,$A$6,"Y")</f>
        <v>9</v>
      </c>
      <c r="L17" s="331">
        <f>DATEDIF('New Hire'!M41,$A$6,"Y")</f>
        <v>4</v>
      </c>
      <c r="M17" s="331">
        <f>DATEDIF('New Hire'!N41,$A$6,"Y")</f>
        <v>0</v>
      </c>
      <c r="N17" s="331">
        <f>DATEDIF('New Hire'!O41,$A$6,"Y")</f>
        <v>11</v>
      </c>
      <c r="O17" s="387">
        <f>DATEDIF('New Hire'!P41,$A$6,"Y")</f>
        <v>0</v>
      </c>
      <c r="P17" s="15"/>
      <c r="Q17" s="20"/>
      <c r="R17" s="20"/>
      <c r="S17" s="20"/>
      <c r="T17" s="20"/>
      <c r="U17" s="20"/>
      <c r="V17" s="23"/>
      <c r="W17" s="19"/>
      <c r="X17" s="19"/>
      <c r="Y17" s="19"/>
      <c r="Z17" s="19"/>
      <c r="AA17" s="19"/>
      <c r="AB17" s="19"/>
      <c r="AC17" s="31"/>
    </row>
    <row r="18" spans="1:29">
      <c r="A18" s="98" t="s">
        <v>563</v>
      </c>
      <c r="B18" s="330" t="str">
        <f>'New Hire'!C52</f>
        <v>A</v>
      </c>
      <c r="C18" s="331" t="str">
        <f>'New Hire'!D52</f>
        <v>A</v>
      </c>
      <c r="D18" s="331" t="str">
        <f>'New Hire'!E52</f>
        <v>A</v>
      </c>
      <c r="E18" s="331" t="str">
        <f>'New Hire'!F52</f>
        <v>B</v>
      </c>
      <c r="F18" s="331" t="str">
        <f>'New Hire'!G52</f>
        <v>B</v>
      </c>
      <c r="G18" s="331" t="str">
        <f>'New Hire'!H52</f>
        <v>C</v>
      </c>
      <c r="H18" s="331" t="str">
        <f>'New Hire'!I52</f>
        <v>D</v>
      </c>
      <c r="I18" s="331" t="str">
        <f>'New Hire'!J52</f>
        <v>D</v>
      </c>
      <c r="J18" s="331" t="str">
        <f>'New Hire'!K52</f>
        <v>A</v>
      </c>
      <c r="K18" s="331" t="str">
        <f>'New Hire'!L52</f>
        <v>A</v>
      </c>
      <c r="L18" s="331" t="str">
        <f>'New Hire'!M52</f>
        <v>A</v>
      </c>
      <c r="M18" s="331" t="str">
        <f>'New Hire'!N52</f>
        <v>A</v>
      </c>
      <c r="N18" s="331" t="str">
        <f>'New Hire'!O52</f>
        <v>A</v>
      </c>
      <c r="O18" s="387" t="str">
        <f>'New Hire'!P52</f>
        <v>B</v>
      </c>
      <c r="P18" s="15"/>
      <c r="Q18" s="20"/>
      <c r="R18" s="20"/>
      <c r="S18" s="20"/>
      <c r="T18" s="20"/>
      <c r="U18" s="20"/>
      <c r="V18" s="23"/>
      <c r="W18" s="19"/>
      <c r="X18" s="19"/>
      <c r="Y18" s="19"/>
      <c r="Z18" s="19"/>
      <c r="AA18" s="19"/>
      <c r="AB18" s="19"/>
      <c r="AC18" s="31"/>
    </row>
    <row r="19" spans="1:29">
      <c r="A19" s="97" t="s">
        <v>107</v>
      </c>
      <c r="B19" s="661">
        <v>1</v>
      </c>
      <c r="C19" s="88">
        <v>2</v>
      </c>
      <c r="D19" s="88">
        <v>1</v>
      </c>
      <c r="E19" s="88">
        <v>3</v>
      </c>
      <c r="F19" s="88">
        <v>0</v>
      </c>
      <c r="G19" s="88">
        <v>0</v>
      </c>
      <c r="H19" s="88">
        <v>2</v>
      </c>
      <c r="I19" s="88">
        <v>0</v>
      </c>
      <c r="J19" s="88">
        <v>0</v>
      </c>
      <c r="K19" s="88">
        <v>0</v>
      </c>
      <c r="L19" s="88">
        <v>0</v>
      </c>
      <c r="M19" s="88">
        <v>0</v>
      </c>
      <c r="N19" s="88">
        <v>0</v>
      </c>
      <c r="O19" s="392">
        <v>0</v>
      </c>
      <c r="P19" s="20"/>
      <c r="Q19" s="32"/>
      <c r="R19" s="20"/>
      <c r="S19" s="20"/>
      <c r="T19" s="20"/>
      <c r="U19" s="20"/>
      <c r="V19" s="23"/>
      <c r="W19" s="19"/>
      <c r="X19" s="19"/>
      <c r="Y19" s="19"/>
      <c r="Z19" s="19"/>
      <c r="AA19" s="19"/>
      <c r="AB19" s="19"/>
      <c r="AC19" s="31"/>
    </row>
    <row r="20" spans="1:29" ht="15.6">
      <c r="A20" s="450" t="s">
        <v>113</v>
      </c>
      <c r="B20" s="89">
        <f>IF(OR(B18="A",B18="C"),3600000*B19,0)</f>
        <v>3600000</v>
      </c>
      <c r="C20" s="89">
        <f t="shared" ref="C20:O20" si="3">IF(OR(C18="A",C18="C"),3600000*C19,0)</f>
        <v>7200000</v>
      </c>
      <c r="D20" s="89">
        <f t="shared" si="3"/>
        <v>3600000</v>
      </c>
      <c r="E20" s="89">
        <f t="shared" si="3"/>
        <v>0</v>
      </c>
      <c r="F20" s="89">
        <f t="shared" si="3"/>
        <v>0</v>
      </c>
      <c r="G20" s="89">
        <f t="shared" si="3"/>
        <v>0</v>
      </c>
      <c r="H20" s="89">
        <f t="shared" si="3"/>
        <v>0</v>
      </c>
      <c r="I20" s="89">
        <f t="shared" si="3"/>
        <v>0</v>
      </c>
      <c r="J20" s="89">
        <f t="shared" si="3"/>
        <v>0</v>
      </c>
      <c r="K20" s="89">
        <f t="shared" si="3"/>
        <v>0</v>
      </c>
      <c r="L20" s="89">
        <f t="shared" si="3"/>
        <v>0</v>
      </c>
      <c r="M20" s="89">
        <f t="shared" si="3"/>
        <v>0</v>
      </c>
      <c r="N20" s="89">
        <f t="shared" si="3"/>
        <v>0</v>
      </c>
      <c r="O20" s="89">
        <f t="shared" si="3"/>
        <v>0</v>
      </c>
      <c r="P20" s="662">
        <f>SUM(B20:O20)</f>
        <v>14400000</v>
      </c>
      <c r="Q20" s="32"/>
      <c r="R20" s="20"/>
      <c r="S20" s="20"/>
      <c r="T20" s="20"/>
      <c r="U20" s="20"/>
      <c r="V20" s="40"/>
      <c r="W20" s="41"/>
      <c r="X20" s="19"/>
      <c r="Y20" s="19"/>
      <c r="Z20" s="19"/>
      <c r="AA20" s="19"/>
      <c r="AB20" s="16"/>
      <c r="AC20" s="17"/>
    </row>
    <row r="21" spans="1:29">
      <c r="A21" s="450" t="s">
        <v>114</v>
      </c>
      <c r="B21" s="89">
        <f>IF(OR(B18="A",B18="C"),9000000,0)</f>
        <v>9000000</v>
      </c>
      <c r="C21" s="89">
        <f t="shared" ref="C21:O21" si="4">IF(OR(C18="A",C18="C"),9000000,0)</f>
        <v>9000000</v>
      </c>
      <c r="D21" s="89">
        <f t="shared" si="4"/>
        <v>9000000</v>
      </c>
      <c r="E21" s="89">
        <f t="shared" si="4"/>
        <v>0</v>
      </c>
      <c r="F21" s="89">
        <f t="shared" si="4"/>
        <v>0</v>
      </c>
      <c r="G21" s="89">
        <f t="shared" si="4"/>
        <v>9000000</v>
      </c>
      <c r="H21" s="89">
        <f t="shared" si="4"/>
        <v>0</v>
      </c>
      <c r="I21" s="89">
        <f t="shared" si="4"/>
        <v>0</v>
      </c>
      <c r="J21" s="89">
        <f t="shared" si="4"/>
        <v>9000000</v>
      </c>
      <c r="K21" s="89">
        <f t="shared" si="4"/>
        <v>9000000</v>
      </c>
      <c r="L21" s="89">
        <f t="shared" si="4"/>
        <v>9000000</v>
      </c>
      <c r="M21" s="89">
        <f t="shared" si="4"/>
        <v>9000000</v>
      </c>
      <c r="N21" s="89">
        <f t="shared" si="4"/>
        <v>9000000</v>
      </c>
      <c r="O21" s="89">
        <f t="shared" si="4"/>
        <v>0</v>
      </c>
      <c r="P21" s="662">
        <f>SUM(B21:O21)</f>
        <v>81000000</v>
      </c>
      <c r="Q21" s="32"/>
      <c r="R21" s="20"/>
      <c r="S21" s="20"/>
      <c r="T21" s="20"/>
      <c r="U21" s="20"/>
      <c r="V21" s="50"/>
      <c r="W21" s="44"/>
      <c r="X21" s="44"/>
      <c r="Y21" s="44"/>
      <c r="Z21" s="44"/>
      <c r="AA21" s="44"/>
      <c r="AB21" s="44"/>
      <c r="AC21" s="51"/>
    </row>
    <row r="22" spans="1:29" ht="15.6">
      <c r="A22" s="406" t="s">
        <v>53</v>
      </c>
      <c r="B22" s="64"/>
      <c r="C22" s="65"/>
      <c r="D22" s="65"/>
      <c r="E22" s="66"/>
      <c r="F22" s="65"/>
      <c r="G22" s="65"/>
      <c r="H22" s="21"/>
      <c r="I22" s="65"/>
      <c r="J22" s="65"/>
      <c r="K22" s="66"/>
      <c r="L22" s="66"/>
      <c r="M22" s="66"/>
      <c r="N22" s="66"/>
      <c r="O22" s="376"/>
      <c r="P22" s="376"/>
      <c r="Q22" s="66"/>
      <c r="R22" s="66"/>
      <c r="S22" s="66"/>
      <c r="T22" s="66"/>
      <c r="U22" s="66"/>
      <c r="V22" s="112" t="s">
        <v>57</v>
      </c>
      <c r="W22" s="113" t="s">
        <v>67</v>
      </c>
      <c r="X22" s="113" t="s">
        <v>69</v>
      </c>
      <c r="Y22" s="113" t="s">
        <v>70</v>
      </c>
      <c r="Z22" s="113" t="s">
        <v>56</v>
      </c>
      <c r="AA22" s="113" t="s">
        <v>54</v>
      </c>
      <c r="AB22" s="113" t="s">
        <v>58</v>
      </c>
      <c r="AC22" s="114" t="s">
        <v>59</v>
      </c>
    </row>
    <row r="23" spans="1:29">
      <c r="A23" s="407" t="s">
        <v>55</v>
      </c>
      <c r="B23" s="64"/>
      <c r="C23" s="65"/>
      <c r="D23" s="65"/>
      <c r="E23" s="66"/>
      <c r="F23" s="65"/>
      <c r="G23" s="65"/>
      <c r="H23" s="21"/>
      <c r="I23" s="65"/>
      <c r="J23" s="65"/>
      <c r="K23" s="66"/>
      <c r="L23" s="66"/>
      <c r="M23" s="66"/>
      <c r="N23" s="66"/>
      <c r="O23" s="66"/>
      <c r="P23" s="337"/>
      <c r="Q23" s="66"/>
      <c r="R23" s="66"/>
      <c r="S23" s="66"/>
      <c r="T23" s="66"/>
      <c r="U23" s="66"/>
      <c r="V23" s="350" t="s">
        <v>2</v>
      </c>
      <c r="W23" s="351">
        <v>91999901</v>
      </c>
      <c r="X23" s="352" t="s">
        <v>505</v>
      </c>
      <c r="Y23" s="352" t="s">
        <v>506</v>
      </c>
      <c r="Z23" s="353" t="s">
        <v>507</v>
      </c>
      <c r="AA23" s="354">
        <v>8000000</v>
      </c>
      <c r="AB23" s="352"/>
      <c r="AC23" s="355"/>
    </row>
    <row r="24" spans="1:29">
      <c r="A24" s="436" t="s">
        <v>477</v>
      </c>
      <c r="B24" s="326">
        <f t="shared" ref="B24:O24" si="5">IF(B11&lt;&gt;"C",ROUND(B123*B74,0),0)</f>
        <v>5000000</v>
      </c>
      <c r="C24" s="326">
        <f t="shared" si="5"/>
        <v>4050000</v>
      </c>
      <c r="D24" s="326">
        <f t="shared" si="5"/>
        <v>7000000</v>
      </c>
      <c r="E24" s="326">
        <f t="shared" si="5"/>
        <v>9000000</v>
      </c>
      <c r="F24" s="326">
        <f t="shared" si="5"/>
        <v>11200000</v>
      </c>
      <c r="G24" s="326">
        <f t="shared" si="5"/>
        <v>0</v>
      </c>
      <c r="H24" s="326">
        <f t="shared" si="5"/>
        <v>51051000</v>
      </c>
      <c r="I24" s="326">
        <f t="shared" si="5"/>
        <v>62653500</v>
      </c>
      <c r="J24" s="326">
        <f t="shared" si="5"/>
        <v>30000000</v>
      </c>
      <c r="K24" s="326">
        <f t="shared" si="5"/>
        <v>8000000</v>
      </c>
      <c r="L24" s="326">
        <f t="shared" si="5"/>
        <v>90000000</v>
      </c>
      <c r="M24" s="326">
        <f t="shared" si="5"/>
        <v>5000000</v>
      </c>
      <c r="N24" s="326">
        <f t="shared" si="5"/>
        <v>6500000</v>
      </c>
      <c r="O24" s="326">
        <f t="shared" si="5"/>
        <v>0</v>
      </c>
      <c r="P24" s="338">
        <f>SUM(B24:O24)</f>
        <v>289454500</v>
      </c>
      <c r="Q24" s="89" t="s">
        <v>523</v>
      </c>
      <c r="R24" s="89" t="s">
        <v>523</v>
      </c>
      <c r="S24" s="89" t="s">
        <v>523</v>
      </c>
      <c r="T24" s="89" t="s">
        <v>523</v>
      </c>
      <c r="U24" s="89" t="s">
        <v>523</v>
      </c>
      <c r="V24" s="350" t="s">
        <v>2</v>
      </c>
      <c r="W24" s="351">
        <v>91999902</v>
      </c>
      <c r="X24" s="352" t="s">
        <v>505</v>
      </c>
      <c r="Y24" s="352" t="s">
        <v>506</v>
      </c>
      <c r="Z24" s="353" t="s">
        <v>507</v>
      </c>
      <c r="AA24" s="354">
        <v>8000000</v>
      </c>
      <c r="AB24" s="352"/>
      <c r="AC24" s="355"/>
    </row>
    <row r="25" spans="1:29">
      <c r="A25" s="442" t="s">
        <v>494</v>
      </c>
      <c r="B25" s="326">
        <f t="shared" ref="B25:O25" si="6">ROUND(B110*B74,0)</f>
        <v>500000</v>
      </c>
      <c r="C25" s="326">
        <f t="shared" si="6"/>
        <v>405000</v>
      </c>
      <c r="D25" s="326">
        <f t="shared" si="6"/>
        <v>700000</v>
      </c>
      <c r="E25" s="326">
        <f t="shared" si="6"/>
        <v>0</v>
      </c>
      <c r="F25" s="326">
        <f t="shared" si="6"/>
        <v>0</v>
      </c>
      <c r="G25" s="326">
        <f t="shared" si="6"/>
        <v>0</v>
      </c>
      <c r="H25" s="326">
        <f t="shared" si="6"/>
        <v>5801250</v>
      </c>
      <c r="I25" s="326">
        <f t="shared" si="6"/>
        <v>0</v>
      </c>
      <c r="J25" s="326">
        <f t="shared" si="6"/>
        <v>3000000</v>
      </c>
      <c r="K25" s="326">
        <f t="shared" si="6"/>
        <v>800000</v>
      </c>
      <c r="L25" s="326">
        <f t="shared" si="6"/>
        <v>0</v>
      </c>
      <c r="M25" s="326">
        <f t="shared" si="6"/>
        <v>1000000</v>
      </c>
      <c r="N25" s="326">
        <f t="shared" si="6"/>
        <v>1000000</v>
      </c>
      <c r="O25" s="326">
        <f t="shared" si="6"/>
        <v>0</v>
      </c>
      <c r="P25" s="338">
        <f>SUM(B25:O25)</f>
        <v>13206250</v>
      </c>
      <c r="Q25" s="373" t="s">
        <v>523</v>
      </c>
      <c r="R25" s="373" t="s">
        <v>523</v>
      </c>
      <c r="S25" s="373" t="s">
        <v>523</v>
      </c>
      <c r="T25" s="373" t="s">
        <v>523</v>
      </c>
      <c r="U25" s="89" t="s">
        <v>523</v>
      </c>
      <c r="V25" s="350" t="s">
        <v>2</v>
      </c>
      <c r="W25" s="351">
        <v>91999904</v>
      </c>
      <c r="X25" s="352" t="s">
        <v>509</v>
      </c>
      <c r="Y25" s="352" t="s">
        <v>506</v>
      </c>
      <c r="Z25" s="353" t="s">
        <v>507</v>
      </c>
      <c r="AA25" s="354">
        <v>8000000</v>
      </c>
      <c r="AB25" s="352"/>
      <c r="AC25" s="355"/>
    </row>
    <row r="26" spans="1:29">
      <c r="A26" s="442" t="s">
        <v>566</v>
      </c>
      <c r="B26" s="326">
        <f t="shared" ref="B26:O26" si="7">ROUND(B111*B74,0)</f>
        <v>1000000</v>
      </c>
      <c r="C26" s="326">
        <f t="shared" si="7"/>
        <v>810000</v>
      </c>
      <c r="D26" s="326">
        <f t="shared" si="7"/>
        <v>1400000</v>
      </c>
      <c r="E26" s="326">
        <f t="shared" si="7"/>
        <v>0</v>
      </c>
      <c r="F26" s="326">
        <f t="shared" si="7"/>
        <v>0</v>
      </c>
      <c r="G26" s="326">
        <f t="shared" si="7"/>
        <v>0</v>
      </c>
      <c r="H26" s="326">
        <f t="shared" si="7"/>
        <v>11602500</v>
      </c>
      <c r="I26" s="326">
        <f t="shared" si="7"/>
        <v>0</v>
      </c>
      <c r="J26" s="326">
        <f t="shared" si="7"/>
        <v>6000000</v>
      </c>
      <c r="K26" s="326">
        <f t="shared" si="7"/>
        <v>1600000</v>
      </c>
      <c r="L26" s="326">
        <f t="shared" si="7"/>
        <v>0</v>
      </c>
      <c r="M26" s="326">
        <f t="shared" si="7"/>
        <v>1500000</v>
      </c>
      <c r="N26" s="326">
        <f t="shared" si="7"/>
        <v>1500000</v>
      </c>
      <c r="O26" s="326">
        <f t="shared" si="7"/>
        <v>0</v>
      </c>
      <c r="P26" s="338">
        <f>SUM(B26:O26)</f>
        <v>25412500</v>
      </c>
      <c r="Q26" s="373" t="s">
        <v>523</v>
      </c>
      <c r="R26" s="373" t="s">
        <v>523</v>
      </c>
      <c r="S26" s="373" t="s">
        <v>523</v>
      </c>
      <c r="T26" s="373" t="s">
        <v>523</v>
      </c>
      <c r="U26" s="89" t="s">
        <v>523</v>
      </c>
      <c r="V26" s="350" t="s">
        <v>2</v>
      </c>
      <c r="W26" s="351">
        <v>91999905</v>
      </c>
      <c r="X26" s="352" t="s">
        <v>505</v>
      </c>
      <c r="Y26" s="352" t="s">
        <v>506</v>
      </c>
      <c r="Z26" s="353" t="s">
        <v>507</v>
      </c>
      <c r="AA26" s="354">
        <v>8000000</v>
      </c>
      <c r="AB26" s="352"/>
      <c r="AC26" s="355"/>
    </row>
    <row r="27" spans="1:29">
      <c r="A27" s="405" t="s">
        <v>426</v>
      </c>
      <c r="B27" s="325"/>
      <c r="C27" s="326"/>
      <c r="D27" s="326"/>
      <c r="E27" s="334"/>
      <c r="F27" s="326"/>
      <c r="G27" s="326">
        <f>ROUND(G109*AC44,0)+ROUND(G109*AC45,0)</f>
        <v>23205000</v>
      </c>
      <c r="H27" s="326"/>
      <c r="I27" s="326"/>
      <c r="J27" s="326"/>
      <c r="K27" s="334"/>
      <c r="L27" s="334"/>
      <c r="M27" s="334"/>
      <c r="N27" s="334"/>
      <c r="O27" s="334">
        <f>ROUND(O109*AC46,0)+ROUND(O109*AC47,0)</f>
        <v>4000000</v>
      </c>
      <c r="P27" s="338">
        <f>SUM(B27:O27)</f>
        <v>27205000</v>
      </c>
      <c r="Q27" s="373" t="s">
        <v>523</v>
      </c>
      <c r="R27" s="373" t="s">
        <v>523</v>
      </c>
      <c r="S27" s="373"/>
      <c r="T27" s="373"/>
      <c r="U27" s="373"/>
      <c r="V27" s="350" t="s">
        <v>2</v>
      </c>
      <c r="W27" s="351">
        <v>91999906</v>
      </c>
      <c r="X27" s="352" t="s">
        <v>505</v>
      </c>
      <c r="Y27" s="352" t="s">
        <v>506</v>
      </c>
      <c r="Z27" s="353" t="s">
        <v>507</v>
      </c>
      <c r="AA27" s="354">
        <v>8000000</v>
      </c>
      <c r="AB27" s="352"/>
      <c r="AC27" s="355"/>
    </row>
    <row r="28" spans="1:29">
      <c r="A28" s="442"/>
      <c r="B28" s="326"/>
      <c r="C28" s="326"/>
      <c r="D28" s="326"/>
      <c r="E28" s="326"/>
      <c r="F28" s="326"/>
      <c r="G28" s="326"/>
      <c r="H28" s="326"/>
      <c r="I28" s="362"/>
      <c r="J28" s="362"/>
      <c r="K28" s="362"/>
      <c r="L28" s="326"/>
      <c r="M28" s="326"/>
      <c r="N28" s="326"/>
      <c r="O28" s="326"/>
      <c r="P28" s="338"/>
      <c r="Q28" s="373"/>
      <c r="R28" s="373"/>
      <c r="S28" s="373"/>
      <c r="T28" s="373"/>
      <c r="U28" s="373"/>
      <c r="V28" s="350" t="s">
        <v>2</v>
      </c>
      <c r="W28" s="351">
        <v>91999907</v>
      </c>
      <c r="X28" s="352" t="s">
        <v>505</v>
      </c>
      <c r="Y28" s="352" t="s">
        <v>506</v>
      </c>
      <c r="Z28" s="353" t="s">
        <v>535</v>
      </c>
      <c r="AA28" s="354">
        <v>7000000</v>
      </c>
      <c r="AB28" s="352"/>
      <c r="AC28" s="355"/>
    </row>
    <row r="29" spans="1:29">
      <c r="A29" s="409" t="s">
        <v>569</v>
      </c>
      <c r="B29" s="325"/>
      <c r="C29" s="326"/>
      <c r="D29" s="326"/>
      <c r="E29" s="334"/>
      <c r="F29" s="326"/>
      <c r="G29" s="326"/>
      <c r="H29" s="326"/>
      <c r="I29" s="326"/>
      <c r="J29" s="326"/>
      <c r="K29" s="334"/>
      <c r="L29" s="334"/>
      <c r="M29" s="334"/>
      <c r="N29" s="334"/>
      <c r="O29" s="395"/>
      <c r="P29" s="349"/>
      <c r="Q29" s="374"/>
      <c r="R29" s="373"/>
      <c r="S29" s="374"/>
      <c r="T29" s="374"/>
      <c r="U29" s="374"/>
      <c r="V29" s="350" t="s">
        <v>2</v>
      </c>
      <c r="W29" s="351">
        <v>91999907</v>
      </c>
      <c r="X29" s="352" t="s">
        <v>596</v>
      </c>
      <c r="Y29" s="352" t="s">
        <v>506</v>
      </c>
      <c r="Z29" s="353">
        <v>7065</v>
      </c>
      <c r="AA29" s="354">
        <v>100</v>
      </c>
      <c r="AB29" s="438" t="s">
        <v>539</v>
      </c>
      <c r="AC29" s="439"/>
    </row>
    <row r="30" spans="1:29">
      <c r="A30" s="436" t="s">
        <v>532</v>
      </c>
      <c r="B30" s="326">
        <f>IF(OR(B18="A",B18="B"),ROUND(ROUND(2369796*B19*B16*IF(B17&lt;3,0,IF(B17&lt;6,50%,100%)),0)*B13/365,0),ROUND(ROUND(2466.55*$B$4,0)*B16*B13/365,0))</f>
        <v>194778</v>
      </c>
      <c r="C30" s="326">
        <f>IF(OR(C18="A",C18="B"),ROUND(ROUND(2369796*C19*C16*IF(C17&lt;3,0,IF(C17&lt;6,50%,100%)),0)*C13/365,0),ROUND(ROUND(2466.55*$B$4,0)*C16*C13/365,0))</f>
        <v>350600</v>
      </c>
      <c r="D30" s="326"/>
      <c r="E30" s="326">
        <f>IF(OR(E18="A",E18="B"),ROUND(ROUND(2369796*E19*E16*IF(E17&lt;3,0,IF(E17&lt;6,50%,100%)),0)*E13/365,0),ROUND(ROUND(2466.55*$B$4,0)*E16*E13/365,0))</f>
        <v>292167</v>
      </c>
      <c r="F30" s="326"/>
      <c r="G30" s="326"/>
      <c r="H30" s="354">
        <f>(ROUND(2466.55*$B$4/365*H16,0)+ROUND(863.29*$B$4/365*H16,0))*H13</f>
        <v>3175436</v>
      </c>
      <c r="I30" s="326"/>
      <c r="J30" s="326"/>
      <c r="K30" s="326"/>
      <c r="L30" s="326"/>
      <c r="M30" s="326"/>
      <c r="N30" s="326"/>
      <c r="O30" s="394"/>
      <c r="P30" s="340">
        <f>SUM(B30:O30)</f>
        <v>4012981</v>
      </c>
      <c r="Q30" s="373"/>
      <c r="R30" s="373" t="s">
        <v>591</v>
      </c>
      <c r="S30" s="373"/>
      <c r="T30" s="373"/>
      <c r="U30" s="373"/>
      <c r="V30" s="350" t="s">
        <v>2</v>
      </c>
      <c r="W30" s="351">
        <v>91999908</v>
      </c>
      <c r="X30" s="352" t="s">
        <v>505</v>
      </c>
      <c r="Y30" s="352" t="s">
        <v>506</v>
      </c>
      <c r="Z30" s="353">
        <v>7065</v>
      </c>
      <c r="AA30" s="354">
        <v>100</v>
      </c>
      <c r="AB30" s="438" t="s">
        <v>539</v>
      </c>
      <c r="AC30" s="439"/>
    </row>
    <row r="31" spans="1:29">
      <c r="A31" s="405"/>
      <c r="B31" s="325"/>
      <c r="C31" s="326"/>
      <c r="D31" s="326"/>
      <c r="E31" s="334"/>
      <c r="F31" s="362"/>
      <c r="G31" s="362"/>
      <c r="H31" s="362"/>
      <c r="I31" s="362"/>
      <c r="J31" s="362"/>
      <c r="K31" s="334"/>
      <c r="L31" s="334"/>
      <c r="M31" s="334"/>
      <c r="N31" s="334"/>
      <c r="O31" s="395"/>
      <c r="P31" s="349"/>
      <c r="Q31" s="373"/>
      <c r="R31" s="373"/>
      <c r="S31" s="373"/>
      <c r="T31" s="373"/>
      <c r="U31" s="373"/>
      <c r="V31" s="350" t="s">
        <v>2</v>
      </c>
      <c r="W31" s="351">
        <v>91999907</v>
      </c>
      <c r="X31" s="352" t="s">
        <v>596</v>
      </c>
      <c r="Y31" s="352" t="s">
        <v>506</v>
      </c>
      <c r="Z31" s="353">
        <v>7070</v>
      </c>
      <c r="AA31" s="354">
        <v>200</v>
      </c>
      <c r="AB31" s="438" t="s">
        <v>539</v>
      </c>
      <c r="AC31" s="439"/>
    </row>
    <row r="32" spans="1:29">
      <c r="A32" s="441" t="s">
        <v>61</v>
      </c>
      <c r="B32" s="359">
        <f t="shared" ref="B32:O32" si="8">SUM(B24:B27)</f>
        <v>6500000</v>
      </c>
      <c r="C32" s="360">
        <f t="shared" si="8"/>
        <v>5265000</v>
      </c>
      <c r="D32" s="360">
        <f t="shared" si="8"/>
        <v>9100000</v>
      </c>
      <c r="E32" s="360">
        <f t="shared" si="8"/>
        <v>9000000</v>
      </c>
      <c r="F32" s="360">
        <f t="shared" si="8"/>
        <v>11200000</v>
      </c>
      <c r="G32" s="360">
        <f t="shared" si="8"/>
        <v>23205000</v>
      </c>
      <c r="H32" s="360">
        <f t="shared" si="8"/>
        <v>68454750</v>
      </c>
      <c r="I32" s="360">
        <f t="shared" si="8"/>
        <v>62653500</v>
      </c>
      <c r="J32" s="360">
        <f t="shared" si="8"/>
        <v>39000000</v>
      </c>
      <c r="K32" s="360">
        <f t="shared" si="8"/>
        <v>10400000</v>
      </c>
      <c r="L32" s="360">
        <f t="shared" si="8"/>
        <v>90000000</v>
      </c>
      <c r="M32" s="360">
        <f t="shared" si="8"/>
        <v>7500000</v>
      </c>
      <c r="N32" s="480">
        <f t="shared" si="8"/>
        <v>9000000</v>
      </c>
      <c r="O32" s="481">
        <f t="shared" si="8"/>
        <v>4000000</v>
      </c>
      <c r="P32" s="349">
        <f>SUM(B32:O32)</f>
        <v>355278250</v>
      </c>
      <c r="Q32" s="373"/>
      <c r="R32" s="373"/>
      <c r="S32" s="373"/>
      <c r="T32" s="373"/>
      <c r="U32" s="373"/>
      <c r="V32" s="350" t="s">
        <v>2</v>
      </c>
      <c r="W32" s="351">
        <v>91999908</v>
      </c>
      <c r="X32" s="352" t="s">
        <v>505</v>
      </c>
      <c r="Y32" s="352" t="s">
        <v>506</v>
      </c>
      <c r="Z32" s="353">
        <v>7070</v>
      </c>
      <c r="AA32" s="354">
        <v>200</v>
      </c>
      <c r="AB32" s="438" t="s">
        <v>539</v>
      </c>
      <c r="AC32" s="439"/>
    </row>
    <row r="33" spans="1:29">
      <c r="A33" s="411"/>
      <c r="B33" s="325"/>
      <c r="C33" s="326"/>
      <c r="D33" s="326"/>
      <c r="E33" s="334"/>
      <c r="F33" s="326"/>
      <c r="G33" s="326"/>
      <c r="H33" s="326"/>
      <c r="I33" s="326"/>
      <c r="J33" s="326"/>
      <c r="K33" s="334"/>
      <c r="L33" s="334"/>
      <c r="M33" s="334"/>
      <c r="N33" s="334"/>
      <c r="O33" s="395"/>
      <c r="P33" s="349"/>
      <c r="Q33" s="373"/>
      <c r="R33" s="373"/>
      <c r="S33" s="373"/>
      <c r="T33" s="373"/>
      <c r="U33" s="373"/>
      <c r="V33" s="350" t="s">
        <v>2</v>
      </c>
      <c r="W33" s="351">
        <v>91999901</v>
      </c>
      <c r="X33" s="352" t="s">
        <v>505</v>
      </c>
      <c r="Y33" s="352" t="s">
        <v>506</v>
      </c>
      <c r="Z33" s="353">
        <v>9140</v>
      </c>
      <c r="AA33" s="354"/>
      <c r="AB33" s="438">
        <v>0.76</v>
      </c>
      <c r="AC33" s="439"/>
    </row>
    <row r="34" spans="1:29" ht="15.6">
      <c r="A34" s="412" t="s">
        <v>60</v>
      </c>
      <c r="B34" s="363"/>
      <c r="C34" s="356"/>
      <c r="D34" s="356"/>
      <c r="E34" s="364"/>
      <c r="F34" s="356"/>
      <c r="G34" s="356"/>
      <c r="H34" s="356"/>
      <c r="I34" s="356"/>
      <c r="J34" s="356"/>
      <c r="K34" s="364"/>
      <c r="L34" s="364"/>
      <c r="M34" s="364"/>
      <c r="N34" s="364"/>
      <c r="O34" s="364"/>
      <c r="P34" s="338"/>
      <c r="Q34" s="373"/>
      <c r="R34" s="373"/>
      <c r="S34" s="373"/>
      <c r="T34" s="373"/>
      <c r="U34" s="373"/>
      <c r="V34" s="350" t="s">
        <v>2</v>
      </c>
      <c r="W34" s="351">
        <v>91999907</v>
      </c>
      <c r="X34" s="352" t="s">
        <v>505</v>
      </c>
      <c r="Y34" s="352" t="s">
        <v>506</v>
      </c>
      <c r="Z34" s="353">
        <v>9140</v>
      </c>
      <c r="AA34" s="354"/>
      <c r="AB34" s="438">
        <v>0.56000000000000005</v>
      </c>
      <c r="AC34" s="439"/>
    </row>
    <row r="35" spans="1:29">
      <c r="A35" s="407" t="s">
        <v>55</v>
      </c>
      <c r="B35" s="363"/>
      <c r="C35" s="356"/>
      <c r="D35" s="356"/>
      <c r="E35" s="364"/>
      <c r="F35" s="356"/>
      <c r="G35" s="356"/>
      <c r="H35" s="356"/>
      <c r="I35" s="356"/>
      <c r="J35" s="356"/>
      <c r="K35" s="364"/>
      <c r="L35" s="364"/>
      <c r="M35" s="364"/>
      <c r="N35" s="364"/>
      <c r="O35" s="364"/>
      <c r="P35" s="338"/>
      <c r="Q35" s="373"/>
      <c r="R35" s="373"/>
      <c r="S35" s="373"/>
      <c r="T35" s="373"/>
      <c r="U35" s="373"/>
      <c r="V35" s="350" t="s">
        <v>747</v>
      </c>
      <c r="W35" s="351">
        <v>91999905</v>
      </c>
      <c r="X35" s="352" t="s">
        <v>505</v>
      </c>
      <c r="Y35" s="352" t="s">
        <v>506</v>
      </c>
      <c r="Z35" s="353" t="s">
        <v>749</v>
      </c>
      <c r="AA35" s="354"/>
      <c r="AB35" s="438">
        <v>1</v>
      </c>
      <c r="AC35" s="439"/>
    </row>
    <row r="36" spans="1:29">
      <c r="A36" s="417" t="s">
        <v>573</v>
      </c>
      <c r="B36" s="326">
        <f>ROUND(B82*'New Hire'!C54,0)</f>
        <v>520000</v>
      </c>
      <c r="C36" s="326">
        <f>ROUND(C82*'New Hire'!D54,0)</f>
        <v>421200</v>
      </c>
      <c r="D36" s="326">
        <f>ROUND(D82*'New Hire'!E54,0)</f>
        <v>0</v>
      </c>
      <c r="E36" s="326">
        <f>ROUND(E82*'New Hire'!F54,0)</f>
        <v>720000</v>
      </c>
      <c r="F36" s="326">
        <f>ROUND(F82*'New Hire'!G54,0)</f>
        <v>0</v>
      </c>
      <c r="G36" s="326">
        <f>ROUND(G82*'New Hire'!H54,0)</f>
        <v>0</v>
      </c>
      <c r="H36" s="326">
        <f>ROUND(H82*'New Hire'!I54,0)</f>
        <v>0</v>
      </c>
      <c r="I36" s="326">
        <f>ROUND(I82*'New Hire'!J54,0)</f>
        <v>0</v>
      </c>
      <c r="J36" s="326">
        <f>ROUND(J82*'New Hire'!K54,0)</f>
        <v>2224000</v>
      </c>
      <c r="K36" s="326">
        <f>ROUND(K82*'New Hire'!L54,0)</f>
        <v>0</v>
      </c>
      <c r="L36" s="326">
        <f>ROUND(L82*'New Hire'!M54,0)</f>
        <v>2224000</v>
      </c>
      <c r="M36" s="326">
        <f>ROUND(M82*'New Hire'!N54,0)</f>
        <v>0</v>
      </c>
      <c r="N36" s="326">
        <f>ROUND(N82*'New Hire'!O54,0)</f>
        <v>0</v>
      </c>
      <c r="O36" s="326">
        <f>ROUND(O82*'New Hire'!P54,0)</f>
        <v>0</v>
      </c>
      <c r="P36" s="338">
        <f>SUM(B36:O36)</f>
        <v>6109200</v>
      </c>
      <c r="Q36" s="373"/>
      <c r="R36" s="373"/>
      <c r="S36" s="373"/>
      <c r="T36" s="373"/>
      <c r="U36" s="373"/>
      <c r="V36" s="350" t="s">
        <v>2</v>
      </c>
      <c r="W36" s="351">
        <v>91999908</v>
      </c>
      <c r="X36" s="438" t="s">
        <v>596</v>
      </c>
      <c r="Y36" s="352" t="s">
        <v>847</v>
      </c>
      <c r="Z36" s="353">
        <v>3601</v>
      </c>
      <c r="AA36" s="354">
        <v>150</v>
      </c>
      <c r="AB36" s="438" t="s">
        <v>597</v>
      </c>
      <c r="AC36" s="439"/>
    </row>
    <row r="37" spans="1:29">
      <c r="A37" s="436" t="s">
        <v>574</v>
      </c>
      <c r="B37" s="326">
        <f>ROUND(MIN(B83,83600000)*'New Hire'!C57,0)</f>
        <v>65000</v>
      </c>
      <c r="C37" s="326">
        <f>ROUND(MIN(C83,83600000)*'New Hire'!D57,0)</f>
        <v>52650</v>
      </c>
      <c r="D37" s="326">
        <f>ROUND(MIN(D83,83600000)*'New Hire'!E57,0)</f>
        <v>91000</v>
      </c>
      <c r="E37" s="326">
        <f>ROUND(MIN(E83,83600000)*'New Hire'!F57,0)</f>
        <v>90000</v>
      </c>
      <c r="F37" s="326">
        <f>ROUND(MIN(F83,83600000)*'New Hire'!G57,0)</f>
        <v>0</v>
      </c>
      <c r="G37" s="326">
        <f>ROUND(MIN(G83,83600000)*'New Hire'!H57,0)</f>
        <v>0</v>
      </c>
      <c r="H37" s="326">
        <f>ROUND(MIN(H83,83600000)*'New Hire'!I57,0)</f>
        <v>0</v>
      </c>
      <c r="I37" s="326">
        <f>ROUND(MIN(I83,83600000)*'New Hire'!J57,0)</f>
        <v>0</v>
      </c>
      <c r="J37" s="326">
        <f>ROUND(MIN(J83,83600000)*'New Hire'!K57,0)</f>
        <v>390000</v>
      </c>
      <c r="K37" s="326">
        <f>ROUND(MIN(K83,83600000)*'New Hire'!L57,0)</f>
        <v>0</v>
      </c>
      <c r="L37" s="326">
        <f>ROUND(MIN(L83,83600000)*'New Hire'!M57,0)</f>
        <v>836000</v>
      </c>
      <c r="M37" s="326">
        <f>ROUND(MIN(M83,83600000)*'New Hire'!N57,0)</f>
        <v>0</v>
      </c>
      <c r="N37" s="326">
        <f>ROUND(MIN(N83,83600000)*'New Hire'!O57,0)</f>
        <v>0</v>
      </c>
      <c r="O37" s="326">
        <f>ROUND(MIN(O83,83600000)*'New Hire'!P57,0)</f>
        <v>0</v>
      </c>
      <c r="P37" s="338">
        <f t="shared" ref="P37:P43" si="9">SUM(B37:O37)</f>
        <v>1524650</v>
      </c>
      <c r="Q37" s="373"/>
      <c r="R37" s="373"/>
      <c r="S37" s="373"/>
      <c r="T37" s="373"/>
      <c r="U37" s="373"/>
      <c r="V37" s="350" t="s">
        <v>2</v>
      </c>
      <c r="W37" s="351">
        <v>91999910</v>
      </c>
      <c r="X37" s="438" t="s">
        <v>505</v>
      </c>
      <c r="Y37" s="352" t="s">
        <v>847</v>
      </c>
      <c r="Z37" s="353">
        <v>3601</v>
      </c>
      <c r="AA37" s="354">
        <v>4000000</v>
      </c>
      <c r="AB37" s="438"/>
      <c r="AC37" s="439"/>
    </row>
    <row r="38" spans="1:29">
      <c r="A38" s="436" t="s">
        <v>575</v>
      </c>
      <c r="B38" s="326">
        <f>ROUND(B82*'New Hire'!C60,0)</f>
        <v>97500</v>
      </c>
      <c r="C38" s="326">
        <f>ROUND(C82*'New Hire'!D60,0)</f>
        <v>78975</v>
      </c>
      <c r="D38" s="326">
        <f>ROUND(D82*'New Hire'!E60,0)</f>
        <v>136500</v>
      </c>
      <c r="E38" s="326">
        <f>ROUND(E82*'New Hire'!F60,0)</f>
        <v>135000</v>
      </c>
      <c r="F38" s="326">
        <f>ROUND(F82*'New Hire'!G60,0)</f>
        <v>0</v>
      </c>
      <c r="G38" s="326">
        <f>ROUND(G82*'New Hire'!H60,0)</f>
        <v>0</v>
      </c>
      <c r="H38" s="326">
        <f>ROUND(H82*'New Hire'!I60,0)</f>
        <v>417000</v>
      </c>
      <c r="I38" s="326">
        <f>ROUND(I82*'New Hire'!J60,0)</f>
        <v>417000</v>
      </c>
      <c r="J38" s="326">
        <f>ROUND(J82*'New Hire'!K60,0)</f>
        <v>417000</v>
      </c>
      <c r="K38" s="326">
        <f>ROUND(K82*'New Hire'!L60,0)</f>
        <v>0</v>
      </c>
      <c r="L38" s="326">
        <f>ROUND(L82*'New Hire'!M60,0)</f>
        <v>417000</v>
      </c>
      <c r="M38" s="326">
        <f>ROUND(M82*'New Hire'!N60,0)</f>
        <v>0</v>
      </c>
      <c r="N38" s="326">
        <f>ROUND(N82*'New Hire'!O60,0)</f>
        <v>0</v>
      </c>
      <c r="O38" s="326">
        <f>ROUND(O82*'New Hire'!P60,0)</f>
        <v>0</v>
      </c>
      <c r="P38" s="338">
        <f t="shared" si="9"/>
        <v>2115975</v>
      </c>
      <c r="Q38" s="373"/>
      <c r="R38" s="373"/>
      <c r="S38" s="373"/>
      <c r="T38" s="373"/>
      <c r="U38" s="373"/>
      <c r="V38" s="32"/>
      <c r="W38" s="44"/>
      <c r="X38" s="13"/>
      <c r="Y38" s="13"/>
      <c r="Z38" s="13"/>
      <c r="AA38" s="13"/>
      <c r="AB38" s="13"/>
      <c r="AC38" s="18"/>
    </row>
    <row r="39" spans="1:29">
      <c r="A39" s="436" t="s">
        <v>851</v>
      </c>
      <c r="B39" s="325">
        <f>B89</f>
        <v>0</v>
      </c>
      <c r="C39" s="326">
        <f>C89</f>
        <v>0</v>
      </c>
      <c r="D39" s="326">
        <f t="shared" ref="D39:O39" si="10">D89</f>
        <v>0</v>
      </c>
      <c r="E39" s="326">
        <f t="shared" si="10"/>
        <v>929217</v>
      </c>
      <c r="F39" s="326">
        <f t="shared" si="10"/>
        <v>1120000</v>
      </c>
      <c r="G39" s="326">
        <f t="shared" si="10"/>
        <v>1380750</v>
      </c>
      <c r="H39" s="326">
        <f t="shared" si="10"/>
        <v>14326037</v>
      </c>
      <c r="I39" s="326">
        <f t="shared" si="10"/>
        <v>12530700</v>
      </c>
      <c r="J39" s="326">
        <f t="shared" si="10"/>
        <v>3743800</v>
      </c>
      <c r="K39" s="326">
        <f t="shared" si="10"/>
        <v>70000</v>
      </c>
      <c r="L39" s="326">
        <f t="shared" si="10"/>
        <v>17406900</v>
      </c>
      <c r="M39" s="326">
        <f t="shared" si="10"/>
        <v>0</v>
      </c>
      <c r="N39" s="326">
        <f t="shared" si="10"/>
        <v>0</v>
      </c>
      <c r="O39" s="326">
        <f t="shared" si="10"/>
        <v>400000</v>
      </c>
      <c r="P39" s="338">
        <f t="shared" si="9"/>
        <v>51907404</v>
      </c>
      <c r="Q39" s="373"/>
      <c r="R39" s="373"/>
      <c r="S39" s="373"/>
      <c r="T39" s="373"/>
      <c r="U39" s="373"/>
      <c r="V39" s="32"/>
      <c r="W39" s="44"/>
      <c r="X39" s="13"/>
      <c r="Y39" s="13"/>
      <c r="Z39" s="13"/>
      <c r="AA39" s="13"/>
      <c r="AB39" s="13"/>
      <c r="AC39" s="18"/>
    </row>
    <row r="40" spans="1:29">
      <c r="A40" s="405" t="s">
        <v>1135</v>
      </c>
      <c r="B40" s="326">
        <f>'UAT3-Mar'!B66</f>
        <v>0</v>
      </c>
      <c r="C40" s="326">
        <f>'UAT3-Mar'!C66</f>
        <v>0</v>
      </c>
      <c r="D40" s="326">
        <f>'UAT3-Mar'!D66</f>
        <v>0</v>
      </c>
      <c r="E40" s="326">
        <f>'UAT3-Mar'!E66</f>
        <v>0</v>
      </c>
      <c r="F40" s="326">
        <f>'UAT3-Mar'!F66</f>
        <v>0</v>
      </c>
      <c r="G40" s="326">
        <f>'UAT3-Mar'!G66</f>
        <v>0</v>
      </c>
      <c r="H40" s="326">
        <f>'UAT3-Mar'!H66</f>
        <v>0</v>
      </c>
      <c r="I40" s="326">
        <f>'UAT3-Mar'!I66</f>
        <v>0</v>
      </c>
      <c r="J40" s="326">
        <f>'UAT3-Mar'!J66</f>
        <v>0</v>
      </c>
      <c r="K40" s="326">
        <f>'UAT3-Mar'!K66</f>
        <v>0</v>
      </c>
      <c r="L40" s="326">
        <f>'UAT3-Mar'!L66</f>
        <v>0</v>
      </c>
      <c r="M40" s="326">
        <f>'UAT3-Mar'!M66</f>
        <v>0</v>
      </c>
      <c r="N40" s="326">
        <f>'UAT3-Mar'!N66</f>
        <v>0</v>
      </c>
      <c r="O40" s="326">
        <f>'UAT3-Mar'!O66</f>
        <v>400000</v>
      </c>
      <c r="P40" s="338">
        <f t="shared" si="9"/>
        <v>400000</v>
      </c>
      <c r="Q40" s="373"/>
      <c r="R40" s="373"/>
      <c r="S40" s="373"/>
      <c r="T40" s="373"/>
      <c r="U40" s="373"/>
      <c r="V40" s="32"/>
      <c r="W40" s="44"/>
      <c r="X40" s="13"/>
      <c r="Y40" s="13"/>
      <c r="Z40" s="13"/>
      <c r="AA40" s="13"/>
      <c r="AB40" s="13"/>
      <c r="AC40" s="18"/>
    </row>
    <row r="41" spans="1:29">
      <c r="A41" s="436" t="s">
        <v>512</v>
      </c>
      <c r="B41" s="326">
        <f>B77-B55</f>
        <v>0</v>
      </c>
      <c r="C41" s="326">
        <f t="shared" ref="C41:H41" si="11">C77-C55</f>
        <v>0</v>
      </c>
      <c r="D41" s="326">
        <f t="shared" si="11"/>
        <v>0</v>
      </c>
      <c r="E41" s="326">
        <f t="shared" si="11"/>
        <v>0</v>
      </c>
      <c r="F41" s="326">
        <f t="shared" si="11"/>
        <v>0</v>
      </c>
      <c r="G41" s="326">
        <f t="shared" si="11"/>
        <v>0</v>
      </c>
      <c r="H41" s="326">
        <f t="shared" si="11"/>
        <v>328767</v>
      </c>
      <c r="I41" s="326">
        <f t="shared" ref="I41:O41" si="12">I77-I55</f>
        <v>0</v>
      </c>
      <c r="J41" s="326">
        <f t="shared" si="12"/>
        <v>0</v>
      </c>
      <c r="K41" s="326">
        <f t="shared" si="12"/>
        <v>0</v>
      </c>
      <c r="L41" s="326">
        <f t="shared" si="12"/>
        <v>0</v>
      </c>
      <c r="M41" s="326">
        <f t="shared" si="12"/>
        <v>0</v>
      </c>
      <c r="N41" s="326">
        <f t="shared" si="12"/>
        <v>0</v>
      </c>
      <c r="O41" s="326">
        <f t="shared" si="12"/>
        <v>0</v>
      </c>
      <c r="P41" s="338">
        <f t="shared" si="9"/>
        <v>328767</v>
      </c>
      <c r="Q41" s="373"/>
      <c r="R41" s="373"/>
      <c r="S41" s="373"/>
      <c r="T41" s="373"/>
      <c r="U41" s="373"/>
      <c r="V41" s="32"/>
      <c r="W41" s="44"/>
      <c r="X41" s="13"/>
      <c r="Y41" s="13"/>
      <c r="Z41" s="13"/>
      <c r="AA41" s="13"/>
      <c r="AB41" s="13"/>
      <c r="AC41" s="18"/>
    </row>
    <row r="42" spans="1:29">
      <c r="A42" s="436" t="s">
        <v>533</v>
      </c>
      <c r="B42" s="326"/>
      <c r="C42" s="326">
        <f>IF(OR(C18="A",C18="B"),ROUND(2369796*C19*C16/365,0),ROUND(2466.55*$B$4*C19*C16/365,0))-C30</f>
        <v>38956</v>
      </c>
      <c r="D42" s="326"/>
      <c r="E42" s="326">
        <f>IF(OR(E18="A",E18="B"),ROUND(2369796*E19*E16/365,0),ROUND(2466.55*$B$4*E19*E16/365,0))-E30</f>
        <v>292166</v>
      </c>
      <c r="F42" s="326"/>
      <c r="G42" s="326"/>
      <c r="H42" s="326">
        <f>ROUND((ROUND(2466.55*$B$4/365*H16,0)+ROUND(863.29*$B$4/365*H16,0)),0)-H30</f>
        <v>3175436</v>
      </c>
      <c r="I42" s="326">
        <f t="shared" ref="I42:O42" si="13">I30</f>
        <v>0</v>
      </c>
      <c r="J42" s="326">
        <f t="shared" si="13"/>
        <v>0</v>
      </c>
      <c r="K42" s="326">
        <f t="shared" si="13"/>
        <v>0</v>
      </c>
      <c r="L42" s="326">
        <f t="shared" si="13"/>
        <v>0</v>
      </c>
      <c r="M42" s="326">
        <f t="shared" si="13"/>
        <v>0</v>
      </c>
      <c r="N42" s="326">
        <f t="shared" si="13"/>
        <v>0</v>
      </c>
      <c r="O42" s="326">
        <f t="shared" si="13"/>
        <v>0</v>
      </c>
      <c r="P42" s="338">
        <f t="shared" si="9"/>
        <v>3506558</v>
      </c>
      <c r="Q42" s="373"/>
      <c r="R42" s="373"/>
      <c r="S42" s="373"/>
      <c r="T42" s="373"/>
      <c r="U42" s="373"/>
      <c r="V42" s="42"/>
      <c r="W42" s="43"/>
      <c r="X42" s="760" t="s">
        <v>90</v>
      </c>
      <c r="Y42" s="760"/>
      <c r="Z42" s="760"/>
      <c r="AA42" s="760"/>
      <c r="AB42" s="13"/>
      <c r="AC42" s="18"/>
    </row>
    <row r="43" spans="1:29">
      <c r="A43" s="436" t="s">
        <v>536</v>
      </c>
      <c r="B43" s="326"/>
      <c r="C43" s="326"/>
      <c r="D43" s="326"/>
      <c r="E43" s="326"/>
      <c r="F43" s="326"/>
      <c r="G43" s="326"/>
      <c r="H43" s="326">
        <f>H78</f>
        <v>575342</v>
      </c>
      <c r="I43" s="326"/>
      <c r="J43" s="326"/>
      <c r="K43" s="326"/>
      <c r="L43" s="326"/>
      <c r="M43" s="326"/>
      <c r="N43" s="326"/>
      <c r="O43" s="326"/>
      <c r="P43" s="338">
        <f t="shared" si="9"/>
        <v>575342</v>
      </c>
      <c r="Q43" s="373"/>
      <c r="R43" s="373"/>
      <c r="S43" s="341"/>
      <c r="T43" s="341"/>
      <c r="U43" s="341"/>
      <c r="V43" s="24" t="s">
        <v>57</v>
      </c>
      <c r="W43" s="37" t="s">
        <v>67</v>
      </c>
      <c r="X43" s="37" t="s">
        <v>69</v>
      </c>
      <c r="Y43" s="37" t="s">
        <v>70</v>
      </c>
      <c r="Z43" s="62" t="s">
        <v>424</v>
      </c>
      <c r="AA43" s="357" t="s">
        <v>425</v>
      </c>
      <c r="AB43" s="37" t="s">
        <v>56</v>
      </c>
      <c r="AC43" s="38"/>
    </row>
    <row r="44" spans="1:29">
      <c r="A44" s="436" t="s">
        <v>537</v>
      </c>
      <c r="B44" s="326"/>
      <c r="C44" s="326"/>
      <c r="D44" s="326"/>
      <c r="E44" s="326"/>
      <c r="F44" s="326"/>
      <c r="G44" s="326"/>
      <c r="H44" s="326">
        <f>ROUND((ROUND(297.1*$B$4,0)+ROUND(103.98*$B$4,0))*H16/365,0)</f>
        <v>764964</v>
      </c>
      <c r="I44" s="326"/>
      <c r="J44" s="326"/>
      <c r="K44" s="326"/>
      <c r="L44" s="326"/>
      <c r="M44" s="326"/>
      <c r="N44" s="326"/>
      <c r="O44" s="326"/>
      <c r="P44" s="339">
        <f>SUM(B44:O44)</f>
        <v>764964</v>
      </c>
      <c r="Q44" s="341"/>
      <c r="R44" s="341"/>
      <c r="S44" s="341"/>
      <c r="T44" s="341"/>
      <c r="U44" s="341"/>
      <c r="V44" s="49" t="s">
        <v>423</v>
      </c>
      <c r="W44" s="347">
        <v>91999906</v>
      </c>
      <c r="X44" s="283" t="s">
        <v>685</v>
      </c>
      <c r="Y44" s="283" t="s">
        <v>685</v>
      </c>
      <c r="Z44" s="286">
        <v>0.375</v>
      </c>
      <c r="AA44" s="286">
        <v>0.47916666666666669</v>
      </c>
      <c r="AB44" s="284">
        <v>9180</v>
      </c>
      <c r="AC44" s="467">
        <v>2.5</v>
      </c>
    </row>
    <row r="45" spans="1:29">
      <c r="A45" s="405"/>
      <c r="B45" s="365"/>
      <c r="C45" s="366"/>
      <c r="D45" s="366"/>
      <c r="E45" s="367"/>
      <c r="F45" s="366"/>
      <c r="G45" s="366"/>
      <c r="H45" s="366"/>
      <c r="I45" s="366"/>
      <c r="J45" s="366"/>
      <c r="K45" s="367"/>
      <c r="L45" s="367"/>
      <c r="M45" s="367"/>
      <c r="N45" s="367"/>
      <c r="O45" s="367"/>
      <c r="P45" s="338"/>
      <c r="Q45" s="373"/>
      <c r="R45" s="373"/>
      <c r="S45" s="373"/>
      <c r="T45" s="373"/>
      <c r="U45" s="373"/>
      <c r="V45" s="49" t="s">
        <v>422</v>
      </c>
      <c r="W45" s="347">
        <v>91999906</v>
      </c>
      <c r="X45" s="283" t="s">
        <v>686</v>
      </c>
      <c r="Y45" s="283" t="s">
        <v>686</v>
      </c>
      <c r="Z45" s="286">
        <v>0.375</v>
      </c>
      <c r="AA45" s="286">
        <v>0.47916666666666669</v>
      </c>
      <c r="AB45" s="284">
        <v>9180</v>
      </c>
      <c r="AC45" s="467">
        <v>2.5</v>
      </c>
    </row>
    <row r="46" spans="1:29">
      <c r="A46" s="413" t="s">
        <v>4</v>
      </c>
      <c r="B46" s="359">
        <f t="shared" ref="B46:O46" si="14">SUM(B36:B45)</f>
        <v>682500</v>
      </c>
      <c r="C46" s="360">
        <f t="shared" si="14"/>
        <v>591781</v>
      </c>
      <c r="D46" s="360">
        <f t="shared" si="14"/>
        <v>227500</v>
      </c>
      <c r="E46" s="360">
        <f t="shared" si="14"/>
        <v>2166383</v>
      </c>
      <c r="F46" s="360">
        <f t="shared" si="14"/>
        <v>1120000</v>
      </c>
      <c r="G46" s="360">
        <f t="shared" si="14"/>
        <v>1380750</v>
      </c>
      <c r="H46" s="360">
        <f t="shared" si="14"/>
        <v>19587546</v>
      </c>
      <c r="I46" s="360">
        <f t="shared" si="14"/>
        <v>12947700</v>
      </c>
      <c r="J46" s="360">
        <f t="shared" si="14"/>
        <v>6774800</v>
      </c>
      <c r="K46" s="360">
        <f t="shared" si="14"/>
        <v>70000</v>
      </c>
      <c r="L46" s="360">
        <f t="shared" si="14"/>
        <v>20883900</v>
      </c>
      <c r="M46" s="360">
        <f t="shared" si="14"/>
        <v>0</v>
      </c>
      <c r="N46" s="480">
        <f t="shared" si="14"/>
        <v>0</v>
      </c>
      <c r="O46" s="655">
        <f t="shared" si="14"/>
        <v>800000</v>
      </c>
      <c r="P46" s="338">
        <f>SUM(B46:O46)</f>
        <v>67232860</v>
      </c>
      <c r="Q46" s="373"/>
      <c r="R46" s="373"/>
      <c r="S46" s="373"/>
      <c r="T46" s="373"/>
      <c r="U46" s="373"/>
      <c r="V46" s="49" t="s">
        <v>422</v>
      </c>
      <c r="W46" s="347">
        <v>91999914</v>
      </c>
      <c r="X46" s="283" t="s">
        <v>687</v>
      </c>
      <c r="Y46" s="283" t="s">
        <v>687</v>
      </c>
      <c r="Z46" s="286">
        <v>0.375</v>
      </c>
      <c r="AA46" s="286">
        <v>0.47916666666666669</v>
      </c>
      <c r="AB46" s="284">
        <v>9180</v>
      </c>
      <c r="AC46" s="467">
        <v>2.5</v>
      </c>
    </row>
    <row r="47" spans="1:29">
      <c r="A47" s="414"/>
      <c r="B47" s="325"/>
      <c r="C47" s="326"/>
      <c r="D47" s="326"/>
      <c r="E47" s="334"/>
      <c r="F47" s="326"/>
      <c r="G47" s="326"/>
      <c r="H47" s="326"/>
      <c r="I47" s="326"/>
      <c r="J47" s="326"/>
      <c r="K47" s="334"/>
      <c r="L47" s="334"/>
      <c r="M47" s="334"/>
      <c r="N47" s="334"/>
      <c r="O47" s="334"/>
      <c r="P47" s="338"/>
      <c r="Q47" s="373"/>
      <c r="R47" s="373"/>
      <c r="S47" s="373"/>
      <c r="T47" s="373"/>
      <c r="U47" s="373"/>
      <c r="V47" s="49" t="s">
        <v>422</v>
      </c>
      <c r="W47" s="347">
        <v>91999914</v>
      </c>
      <c r="X47" s="283" t="s">
        <v>688</v>
      </c>
      <c r="Y47" s="283" t="s">
        <v>688</v>
      </c>
      <c r="Z47" s="286">
        <v>0.375</v>
      </c>
      <c r="AA47" s="286">
        <v>0.47916666666666669</v>
      </c>
      <c r="AB47" s="284">
        <v>9180</v>
      </c>
      <c r="AC47" s="467">
        <v>2.5</v>
      </c>
    </row>
    <row r="48" spans="1:29" ht="14.4" thickBot="1">
      <c r="A48" s="410" t="s">
        <v>5</v>
      </c>
      <c r="B48" s="327">
        <f t="shared" ref="B48:O48" si="15">B32-B46</f>
        <v>5817500</v>
      </c>
      <c r="C48" s="328">
        <f t="shared" si="15"/>
        <v>4673219</v>
      </c>
      <c r="D48" s="328">
        <f t="shared" si="15"/>
        <v>8872500</v>
      </c>
      <c r="E48" s="328">
        <f t="shared" si="15"/>
        <v>6833617</v>
      </c>
      <c r="F48" s="328">
        <f t="shared" si="15"/>
        <v>10080000</v>
      </c>
      <c r="G48" s="328">
        <f t="shared" si="15"/>
        <v>21824250</v>
      </c>
      <c r="H48" s="328">
        <f t="shared" si="15"/>
        <v>48867204</v>
      </c>
      <c r="I48" s="328">
        <f t="shared" si="15"/>
        <v>49705800</v>
      </c>
      <c r="J48" s="328">
        <f t="shared" si="15"/>
        <v>32225200</v>
      </c>
      <c r="K48" s="328">
        <f t="shared" si="15"/>
        <v>10330000</v>
      </c>
      <c r="L48" s="328">
        <f t="shared" si="15"/>
        <v>69116100</v>
      </c>
      <c r="M48" s="328">
        <f t="shared" si="15"/>
        <v>7500000</v>
      </c>
      <c r="N48" s="328">
        <f t="shared" si="15"/>
        <v>9000000</v>
      </c>
      <c r="O48" s="328">
        <f t="shared" si="15"/>
        <v>3200000</v>
      </c>
      <c r="P48" s="338">
        <f>SUM(B48:O48)</f>
        <v>288045390</v>
      </c>
      <c r="Q48" s="373"/>
      <c r="R48" s="373"/>
      <c r="S48" s="373"/>
      <c r="T48" s="373"/>
      <c r="U48" s="373"/>
      <c r="V48" s="49" t="s">
        <v>422</v>
      </c>
      <c r="W48" s="39"/>
      <c r="X48" s="348"/>
      <c r="Y48" s="7"/>
      <c r="Z48" s="60"/>
      <c r="AA48" s="326"/>
      <c r="AB48" s="7"/>
      <c r="AC48" s="12"/>
    </row>
    <row r="49" spans="1:29" ht="14.4" thickTop="1">
      <c r="A49" s="415"/>
      <c r="B49" s="325"/>
      <c r="C49" s="326"/>
      <c r="D49" s="326"/>
      <c r="E49" s="334"/>
      <c r="F49" s="326"/>
      <c r="G49" s="326"/>
      <c r="H49" s="326"/>
      <c r="I49" s="326"/>
      <c r="J49" s="326"/>
      <c r="K49" s="334"/>
      <c r="L49" s="334"/>
      <c r="M49" s="334"/>
      <c r="N49" s="334"/>
      <c r="O49" s="395"/>
      <c r="P49" s="349"/>
      <c r="Q49" s="373"/>
      <c r="R49" s="373"/>
      <c r="S49" s="373"/>
      <c r="T49" s="373"/>
      <c r="U49" s="373"/>
      <c r="V49" s="49" t="s">
        <v>422</v>
      </c>
      <c r="W49" s="39"/>
      <c r="X49" s="7"/>
      <c r="Y49" s="7"/>
      <c r="Z49" s="60"/>
      <c r="AA49" s="326"/>
      <c r="AB49" s="7"/>
      <c r="AC49" s="12"/>
    </row>
    <row r="50" spans="1:29" ht="15.6">
      <c r="A50" s="404" t="s">
        <v>62</v>
      </c>
      <c r="B50" s="368"/>
      <c r="C50" s="399"/>
      <c r="D50" s="399"/>
      <c r="E50" s="364"/>
      <c r="F50" s="399"/>
      <c r="G50" s="399"/>
      <c r="H50" s="400"/>
      <c r="I50" s="399"/>
      <c r="J50" s="399"/>
      <c r="K50" s="364"/>
      <c r="L50" s="364"/>
      <c r="M50" s="364"/>
      <c r="N50" s="364"/>
      <c r="O50" s="377"/>
      <c r="P50" s="377"/>
      <c r="Q50" s="373"/>
      <c r="R50" s="373"/>
      <c r="S50" s="373"/>
      <c r="T50" s="373"/>
      <c r="U50" s="373"/>
      <c r="V50" s="49" t="s">
        <v>422</v>
      </c>
      <c r="W50" s="39"/>
      <c r="X50" s="7"/>
      <c r="Y50" s="7"/>
      <c r="Z50" s="60"/>
      <c r="AA50" s="326"/>
      <c r="AB50" s="7"/>
      <c r="AC50" s="12"/>
    </row>
    <row r="51" spans="1:29">
      <c r="A51" s="417" t="s">
        <v>570</v>
      </c>
      <c r="B51" s="326">
        <f>ROUND(B82*'New Hire'!C55,0)</f>
        <v>1105000</v>
      </c>
      <c r="C51" s="326">
        <f>ROUND(C82*'New Hire'!D55,0)</f>
        <v>921375</v>
      </c>
      <c r="D51" s="326">
        <f>ROUND(D82*'New Hire'!E55,0)</f>
        <v>45500</v>
      </c>
      <c r="E51" s="326">
        <f>ROUND(E82*'New Hire'!F55,0)</f>
        <v>1530000</v>
      </c>
      <c r="F51" s="326">
        <f>ROUND(F82*'New Hire'!G55,0)</f>
        <v>0</v>
      </c>
      <c r="G51" s="326">
        <f>ROUND(G82*'New Hire'!H55,0)</f>
        <v>0</v>
      </c>
      <c r="H51" s="326">
        <f>ROUND(H82*'New Hire'!I55,0)</f>
        <v>834000</v>
      </c>
      <c r="I51" s="326">
        <f>ROUND(I82*'New Hire'!J55,0)</f>
        <v>139000</v>
      </c>
      <c r="J51" s="326">
        <f>ROUND(J82*'New Hire'!K55,0)</f>
        <v>4726000</v>
      </c>
      <c r="K51" s="326">
        <f>ROUND(K82*'New Hire'!L55,0)</f>
        <v>0</v>
      </c>
      <c r="L51" s="326">
        <f>ROUND(L82*'New Hire'!M55,0)</f>
        <v>4726000</v>
      </c>
      <c r="M51" s="326">
        <f>ROUND(M82*'New Hire'!N55,0)</f>
        <v>0</v>
      </c>
      <c r="N51" s="326">
        <f>ROUND(N82*'New Hire'!O55,0)</f>
        <v>0</v>
      </c>
      <c r="O51" s="326">
        <f>ROUND(O82*'New Hire'!P55,0)</f>
        <v>0</v>
      </c>
      <c r="P51" s="339">
        <f t="shared" ref="P51:P56" si="16">SUM(B51:O51)</f>
        <v>14026875</v>
      </c>
      <c r="Q51" s="373"/>
      <c r="R51" s="373"/>
      <c r="S51" s="373"/>
      <c r="T51" s="373"/>
      <c r="U51" s="373"/>
      <c r="V51" s="49" t="s">
        <v>422</v>
      </c>
      <c r="W51" s="39"/>
      <c r="X51" s="7"/>
      <c r="Y51" s="7"/>
      <c r="Z51" s="60"/>
      <c r="AA51" s="326"/>
      <c r="AB51" s="7"/>
      <c r="AC51" s="12"/>
    </row>
    <row r="52" spans="1:29">
      <c r="A52" s="436" t="s">
        <v>571</v>
      </c>
      <c r="B52" s="326">
        <f>ROUND(MIN(B83,83600000)*'New Hire'!C58,0)</f>
        <v>65000</v>
      </c>
      <c r="C52" s="326">
        <f>ROUND(MIN(C83,83600000)*'New Hire'!D58,0)</f>
        <v>52650</v>
      </c>
      <c r="D52" s="326">
        <f>ROUND(MIN(D83,83600000)*'New Hire'!E58,0)</f>
        <v>91000</v>
      </c>
      <c r="E52" s="326">
        <f>ROUND(MIN(E83,83600000)*'New Hire'!F58,0)</f>
        <v>90000</v>
      </c>
      <c r="F52" s="326">
        <f>ROUND(MIN(F83,83600000)*'New Hire'!G58,0)</f>
        <v>0</v>
      </c>
      <c r="G52" s="326">
        <f>ROUND(MIN(G83,83600000)*'New Hire'!H58,0)</f>
        <v>0</v>
      </c>
      <c r="H52" s="326">
        <f>ROUND(MIN(H83,83600000)*'New Hire'!I58,0)</f>
        <v>0</v>
      </c>
      <c r="I52" s="326">
        <f>ROUND(MIN(I83,83600000)*'New Hire'!J58,0)</f>
        <v>0</v>
      </c>
      <c r="J52" s="326">
        <f>ROUND(MIN(J83,83600000)*'New Hire'!K58,0)</f>
        <v>390000</v>
      </c>
      <c r="K52" s="326">
        <f>ROUND(MIN(K83,83600000)*'New Hire'!L58,0)</f>
        <v>0</v>
      </c>
      <c r="L52" s="326">
        <f>ROUND(MIN(L83,83600000)*'New Hire'!M58,0)</f>
        <v>836000</v>
      </c>
      <c r="M52" s="326">
        <f>ROUND(MIN(M83,83600000)*'New Hire'!N58,0)</f>
        <v>0</v>
      </c>
      <c r="N52" s="326">
        <f>ROUND(MIN(N83,83600000)*'New Hire'!O58,0)</f>
        <v>0</v>
      </c>
      <c r="O52" s="326">
        <f>ROUND(MIN(O83,83600000)*'New Hire'!P58,0)</f>
        <v>0</v>
      </c>
      <c r="P52" s="339">
        <f t="shared" si="16"/>
        <v>1524650</v>
      </c>
      <c r="Q52" s="373"/>
      <c r="R52" s="373"/>
      <c r="S52" s="373"/>
      <c r="T52" s="373"/>
      <c r="U52" s="373"/>
      <c r="V52" s="49" t="s">
        <v>422</v>
      </c>
      <c r="W52" s="39"/>
      <c r="X52" s="7"/>
      <c r="Y52" s="7"/>
      <c r="Z52" s="60"/>
      <c r="AA52" s="326"/>
      <c r="AB52" s="7"/>
      <c r="AC52" s="12"/>
    </row>
    <row r="53" spans="1:29">
      <c r="A53" s="436" t="s">
        <v>572</v>
      </c>
      <c r="B53" s="326">
        <f>ROUND(B82*'New Hire'!C61,0)</f>
        <v>195000</v>
      </c>
      <c r="C53" s="326">
        <f>ROUND(C82*'New Hire'!D61,0)</f>
        <v>157950</v>
      </c>
      <c r="D53" s="326">
        <f>ROUND(D82*'New Hire'!E61,0)</f>
        <v>273000</v>
      </c>
      <c r="E53" s="326">
        <f>ROUND(E82*'New Hire'!F61,0)</f>
        <v>270000</v>
      </c>
      <c r="F53" s="326">
        <f>ROUND(F82*'New Hire'!G61,0)</f>
        <v>0</v>
      </c>
      <c r="G53" s="326">
        <f>ROUND(G82*'New Hire'!H61,0)</f>
        <v>0</v>
      </c>
      <c r="H53" s="326">
        <f>ROUND(H82*'New Hire'!I61,0)</f>
        <v>834000</v>
      </c>
      <c r="I53" s="326">
        <f>ROUND(I82*'New Hire'!J61,0)</f>
        <v>834000</v>
      </c>
      <c r="J53" s="326">
        <f>ROUND(J82*'New Hire'!K61,0)</f>
        <v>834000</v>
      </c>
      <c r="K53" s="326">
        <f>ROUND(K82*'New Hire'!L61,0)</f>
        <v>0</v>
      </c>
      <c r="L53" s="326">
        <f>ROUND(L82*'New Hire'!M61,0)</f>
        <v>834000</v>
      </c>
      <c r="M53" s="326">
        <f>ROUND(M82*'New Hire'!N61,0)</f>
        <v>0</v>
      </c>
      <c r="N53" s="326">
        <f>ROUND(N82*'New Hire'!O61,0)</f>
        <v>0</v>
      </c>
      <c r="O53" s="326">
        <f>ROUND(O82*'New Hire'!P61,0)</f>
        <v>0</v>
      </c>
      <c r="P53" s="339">
        <f t="shared" si="16"/>
        <v>4231950</v>
      </c>
      <c r="Q53" s="341"/>
      <c r="R53" s="341"/>
      <c r="S53" s="341"/>
      <c r="T53" s="341"/>
      <c r="U53" s="341"/>
      <c r="V53" s="49" t="s">
        <v>422</v>
      </c>
      <c r="W53" s="39"/>
      <c r="X53" s="7"/>
      <c r="Y53" s="7"/>
      <c r="Z53" s="60"/>
      <c r="AA53" s="326"/>
      <c r="AB53" s="7"/>
      <c r="AC53" s="12"/>
    </row>
    <row r="54" spans="1:29">
      <c r="A54" s="405" t="s">
        <v>1071</v>
      </c>
      <c r="B54" s="326">
        <f t="shared" ref="B54:O54" si="17">IF(B36+B51=0,0,ROUND(MIN(B82,29800000)*2%,0))</f>
        <v>130000</v>
      </c>
      <c r="C54" s="326">
        <f t="shared" si="17"/>
        <v>105300</v>
      </c>
      <c r="D54" s="326">
        <f t="shared" si="17"/>
        <v>182000</v>
      </c>
      <c r="E54" s="326">
        <f t="shared" si="17"/>
        <v>180000</v>
      </c>
      <c r="F54" s="326">
        <f t="shared" si="17"/>
        <v>0</v>
      </c>
      <c r="G54" s="326">
        <f t="shared" si="17"/>
        <v>0</v>
      </c>
      <c r="H54" s="326">
        <f t="shared" si="17"/>
        <v>556000</v>
      </c>
      <c r="I54" s="326">
        <f t="shared" si="17"/>
        <v>556000</v>
      </c>
      <c r="J54" s="326">
        <f t="shared" si="17"/>
        <v>556000</v>
      </c>
      <c r="K54" s="326">
        <f t="shared" si="17"/>
        <v>0</v>
      </c>
      <c r="L54" s="326">
        <f t="shared" si="17"/>
        <v>556000</v>
      </c>
      <c r="M54" s="326">
        <f t="shared" si="17"/>
        <v>0</v>
      </c>
      <c r="N54" s="326">
        <f t="shared" si="17"/>
        <v>0</v>
      </c>
      <c r="O54" s="326">
        <f t="shared" si="17"/>
        <v>0</v>
      </c>
      <c r="P54" s="339">
        <f t="shared" si="16"/>
        <v>2821300</v>
      </c>
      <c r="Q54" s="373"/>
      <c r="R54" s="373"/>
      <c r="S54" s="373"/>
      <c r="T54" s="373"/>
      <c r="U54" s="373"/>
      <c r="V54" s="33"/>
      <c r="W54" s="45"/>
      <c r="X54" s="13"/>
      <c r="Y54" s="13"/>
      <c r="Z54" s="13"/>
      <c r="AA54" s="13"/>
      <c r="AB54" s="13"/>
      <c r="AC54" s="18"/>
    </row>
    <row r="55" spans="1:29">
      <c r="A55" s="436" t="s">
        <v>510</v>
      </c>
      <c r="B55" s="326">
        <f t="shared" ref="B55:H55" si="18">IF(OR(B18="A",B18="B"),B77,ROUND(B77*B13,0))</f>
        <v>657534</v>
      </c>
      <c r="C55" s="326">
        <f t="shared" si="18"/>
        <v>657534</v>
      </c>
      <c r="D55" s="326">
        <f t="shared" si="18"/>
        <v>0</v>
      </c>
      <c r="E55" s="326">
        <f t="shared" si="18"/>
        <v>657534</v>
      </c>
      <c r="F55" s="326">
        <f t="shared" si="18"/>
        <v>657534</v>
      </c>
      <c r="G55" s="326">
        <f t="shared" si="18"/>
        <v>0</v>
      </c>
      <c r="H55" s="326">
        <f t="shared" si="18"/>
        <v>328767</v>
      </c>
      <c r="I55" s="326"/>
      <c r="J55" s="326"/>
      <c r="K55" s="334"/>
      <c r="L55" s="334"/>
      <c r="M55" s="334"/>
      <c r="N55" s="334"/>
      <c r="O55" s="334"/>
      <c r="P55" s="339">
        <f t="shared" si="16"/>
        <v>2958903</v>
      </c>
      <c r="Q55" s="373"/>
      <c r="R55" s="373"/>
      <c r="S55" s="373"/>
      <c r="T55" s="373"/>
      <c r="U55" s="373"/>
      <c r="V55" s="33"/>
      <c r="W55" s="45"/>
      <c r="X55" s="13"/>
      <c r="Y55" s="13"/>
      <c r="Z55" s="13"/>
      <c r="AA55" s="13"/>
      <c r="AB55" s="13"/>
      <c r="AC55" s="18"/>
    </row>
    <row r="56" spans="1:29">
      <c r="A56" s="442" t="s">
        <v>836</v>
      </c>
      <c r="B56" s="326">
        <v>0</v>
      </c>
      <c r="C56" s="326"/>
      <c r="D56" s="326"/>
      <c r="E56" s="326">
        <v>0</v>
      </c>
      <c r="F56" s="326"/>
      <c r="G56" s="326"/>
      <c r="H56" s="326"/>
      <c r="I56" s="362">
        <f>AA36*B4</f>
        <v>3480750</v>
      </c>
      <c r="J56" s="362"/>
      <c r="K56" s="362">
        <f>AA37</f>
        <v>4000000</v>
      </c>
      <c r="L56" s="326"/>
      <c r="M56" s="326"/>
      <c r="N56" s="326"/>
      <c r="O56" s="326"/>
      <c r="P56" s="339">
        <f t="shared" si="16"/>
        <v>7480750</v>
      </c>
      <c r="Q56" s="373"/>
      <c r="R56" s="373"/>
      <c r="S56" s="373"/>
      <c r="T56" s="373"/>
      <c r="U56" s="373"/>
      <c r="V56" s="33"/>
      <c r="W56" s="45"/>
      <c r="X56" s="13"/>
      <c r="Y56" s="13"/>
      <c r="Z56" s="13"/>
      <c r="AA56" s="13"/>
      <c r="AB56" s="13"/>
      <c r="AC56" s="18"/>
    </row>
    <row r="57" spans="1:29">
      <c r="A57" s="405"/>
      <c r="B57" s="325"/>
      <c r="C57" s="326"/>
      <c r="D57" s="326"/>
      <c r="E57" s="334"/>
      <c r="F57" s="326"/>
      <c r="G57" s="326"/>
      <c r="H57" s="326"/>
      <c r="I57" s="326"/>
      <c r="J57" s="326"/>
      <c r="K57" s="334"/>
      <c r="L57" s="334"/>
      <c r="M57" s="334"/>
      <c r="N57" s="334"/>
      <c r="O57" s="334"/>
      <c r="P57" s="339"/>
      <c r="Q57" s="373"/>
      <c r="R57" s="373"/>
      <c r="S57" s="373"/>
      <c r="T57" s="373"/>
      <c r="U57" s="373"/>
      <c r="V57" s="32"/>
      <c r="W57" s="44"/>
      <c r="X57" s="13"/>
      <c r="Y57" s="13"/>
      <c r="Z57" s="13"/>
      <c r="AA57" s="13"/>
      <c r="AB57" s="13"/>
      <c r="AC57" s="18"/>
    </row>
    <row r="58" spans="1:29" ht="15.6">
      <c r="A58" s="404" t="s">
        <v>474</v>
      </c>
      <c r="B58" s="325"/>
      <c r="C58" s="326"/>
      <c r="D58" s="326"/>
      <c r="E58" s="334"/>
      <c r="F58" s="326"/>
      <c r="G58" s="326"/>
      <c r="H58" s="326"/>
      <c r="I58" s="326"/>
      <c r="J58" s="326"/>
      <c r="K58" s="334"/>
      <c r="L58" s="334"/>
      <c r="M58" s="334"/>
      <c r="N58" s="334"/>
      <c r="O58" s="395"/>
      <c r="P58" s="340"/>
      <c r="Q58" s="373"/>
      <c r="R58" s="373"/>
      <c r="S58" s="373"/>
      <c r="T58" s="373"/>
      <c r="U58" s="373"/>
      <c r="V58" s="34"/>
      <c r="W58" s="46"/>
      <c r="X58" s="35"/>
      <c r="Y58" s="35"/>
      <c r="Z58" s="35"/>
      <c r="AA58" s="35"/>
      <c r="AB58" s="35"/>
      <c r="AC58" s="36"/>
    </row>
    <row r="59" spans="1:29">
      <c r="A59" s="436" t="s">
        <v>475</v>
      </c>
      <c r="B59" s="326">
        <f>IF(AND(OR(B11="1",B11="P"),'New Hire'!C28="Local"),ROUND(B123*B75,0))+'UAT3-Mar'!B76</f>
        <v>1647510</v>
      </c>
      <c r="C59" s="326">
        <f>IF(AND(OR(C11="1",C11="P"),'New Hire'!D28="Local"),ROUND(C123*C75,0))+'UAT3-Mar'!C76</f>
        <v>1334483</v>
      </c>
      <c r="D59" s="326">
        <f>IF(AND(OR(D11="1",D11="P"),'New Hire'!E28="Local"),ROUND(D123*D75,0))+'UAT3-Mar'!D76</f>
        <v>0</v>
      </c>
      <c r="E59" s="326">
        <f>IF(AND(OR(E11="1",E11="P"),'New Hire'!F28="Local"),ROUND(E123*E75,0))+'UAT3-Mar'!E76</f>
        <v>0</v>
      </c>
      <c r="F59" s="326">
        <f>IF(AND(OR(F11="1",F11="P"),'New Hire'!G28="Local"),ROUND(F123*F75,0))+'UAT3-Mar'!F76</f>
        <v>0</v>
      </c>
      <c r="G59" s="326">
        <f>IF(AND(OR(G11="1",G11="P"),'New Hire'!H28="Local"),ROUND(G123*G75,0))+'UAT3-Mar'!G76</f>
        <v>0</v>
      </c>
      <c r="H59" s="326">
        <f>IF(AND(OR(H11="1",H11="P"),'New Hire'!I28="Local"),ROUND(H123*H75,0))+'UAT3-Mar'!H76</f>
        <v>0</v>
      </c>
      <c r="I59" s="326">
        <f>IF(AND(OR(I11="1",I11="P"),'New Hire'!J28="Local"),ROUND(I123*I75,0))+'UAT3-Mar'!I76</f>
        <v>0</v>
      </c>
      <c r="J59" s="326">
        <f>IF(AND(OR(J11="1",J11="P"),'New Hire'!K28="Local"),ROUND(J123*J75,0))+'UAT3-Mar'!J76</f>
        <v>7586210</v>
      </c>
      <c r="K59" s="326">
        <f>IF(AND(OR(K11="1",K11="P"),'New Hire'!L28="Local"),ROUND(K123*K75,0))+'UAT3-Mar'!K76</f>
        <v>2636016</v>
      </c>
      <c r="L59" s="326">
        <f>IF(AND(OR(L11="1",L11="P"),'New Hire'!M28="Local"),ROUND(L123*L75,0))+'UAT3-Mar'!L76</f>
        <v>29655179</v>
      </c>
      <c r="M59" s="326">
        <f>IF(AND(OR(M11="1",M11="P"),'New Hire'!N28="Local"),ROUND(M123*M75,0))+'UAT3-Mar'!M76</f>
        <v>0</v>
      </c>
      <c r="N59" s="326">
        <f>IF(AND(OR(N11="1",N11="P"),'New Hire'!O28="Local"),ROUND(N123*N75,0))+'UAT3-Mar'!N76</f>
        <v>0</v>
      </c>
      <c r="O59" s="326">
        <f>IF(AND(OR(O11="1",O11="P"),'New Hire'!P28="Local"),ROUND(O123*O75,0))+'UAT3-Mar'!O76</f>
        <v>0</v>
      </c>
      <c r="P59" s="339">
        <f>SUM(B59:O59)</f>
        <v>42859398</v>
      </c>
      <c r="Q59" s="373"/>
      <c r="R59" s="373"/>
      <c r="S59" s="373"/>
      <c r="T59" s="373"/>
      <c r="U59" s="373"/>
    </row>
    <row r="60" spans="1:29">
      <c r="A60" s="436" t="s">
        <v>482</v>
      </c>
      <c r="B60" s="584"/>
      <c r="C60" s="584">
        <f>'UAT3-Mar'!C77</f>
        <v>2.5</v>
      </c>
      <c r="D60" s="584"/>
      <c r="E60" s="584"/>
      <c r="F60" s="584"/>
      <c r="G60" s="584"/>
      <c r="H60" s="584">
        <f>CEILING(ROUND(('UAT1-Jan'!AB70+'UAT1-Jan'!H14+'UAT2-Feb'!H14+'UAT3-Mar'!H14+H14)/261,2),0.5)</f>
        <v>5</v>
      </c>
      <c r="I60" s="584">
        <f>CEILING(ROUND(('UAT1-Jan'!I14+'UAT2-Feb'!I14+'UAT3-Mar'!I14+I14)/261,2),0.5)</f>
        <v>0.5</v>
      </c>
      <c r="J60" s="584"/>
      <c r="K60" s="584"/>
      <c r="L60" s="584"/>
      <c r="M60" s="584"/>
      <c r="N60" s="584">
        <f>'UAT3-Mar'!N77</f>
        <v>1.5</v>
      </c>
      <c r="O60" s="586"/>
      <c r="P60" s="585">
        <f>SUM(B60:O60)</f>
        <v>9.5</v>
      </c>
      <c r="Q60" s="373"/>
      <c r="R60" s="373"/>
      <c r="S60" s="373"/>
      <c r="T60" s="373"/>
      <c r="U60" s="373"/>
      <c r="V60"/>
      <c r="W60"/>
      <c r="X60"/>
      <c r="Y60"/>
      <c r="Z60"/>
      <c r="AA60"/>
      <c r="AB60"/>
      <c r="AC60"/>
    </row>
    <row r="61" spans="1:29">
      <c r="A61" s="436" t="s">
        <v>581</v>
      </c>
      <c r="B61" s="326">
        <f>B84+'UAT3-Mar'!B78</f>
        <v>33600000</v>
      </c>
      <c r="C61" s="326">
        <f>C84+'UAT3-Mar'!C78</f>
        <v>29214000</v>
      </c>
      <c r="D61" s="326">
        <f>D84+'UAT3-Mar'!D78</f>
        <v>42496957</v>
      </c>
      <c r="E61" s="326">
        <f>E84+'UAT3-Mar'!E78</f>
        <v>39600000</v>
      </c>
      <c r="F61" s="326">
        <f>F84+'UAT3-Mar'!F78</f>
        <v>47680000</v>
      </c>
      <c r="G61" s="326">
        <f>G84+'UAT3-Mar'!G78</f>
        <v>0</v>
      </c>
      <c r="H61" s="326">
        <f>H84+'UAT3-Mar'!H78</f>
        <v>281940750</v>
      </c>
      <c r="I61" s="326">
        <f>I84+'UAT3-Mar'!I78</f>
        <v>262274512</v>
      </c>
      <c r="J61" s="326">
        <f>J84+'UAT3-Mar'!J78</f>
        <v>156000000</v>
      </c>
      <c r="K61" s="326">
        <f>K84+'UAT3-Mar'!K78</f>
        <v>43060000</v>
      </c>
      <c r="L61" s="326">
        <f>L84+'UAT3-Mar'!L78</f>
        <v>360000000</v>
      </c>
      <c r="M61" s="326">
        <f>M84+'UAT3-Mar'!M78</f>
        <v>30000000</v>
      </c>
      <c r="N61" s="326">
        <f>N84+'UAT3-Mar'!N78</f>
        <v>36000000</v>
      </c>
      <c r="O61" s="326">
        <f>O84+'UAT3-Mar'!O78</f>
        <v>0</v>
      </c>
      <c r="P61" s="339">
        <f>SUM(B61:O61)</f>
        <v>1361866219</v>
      </c>
      <c r="Q61" s="373"/>
      <c r="R61" s="373"/>
      <c r="S61" s="373"/>
      <c r="T61" s="373"/>
      <c r="U61" s="373"/>
      <c r="V61"/>
      <c r="W61"/>
      <c r="X61"/>
      <c r="Y61"/>
      <c r="Z61"/>
      <c r="AA61"/>
      <c r="AB61"/>
      <c r="AC61"/>
    </row>
    <row r="62" spans="1:29">
      <c r="A62" s="405"/>
      <c r="B62" s="325"/>
      <c r="C62" s="326"/>
      <c r="D62" s="326"/>
      <c r="E62" s="334"/>
      <c r="F62" s="326"/>
      <c r="G62" s="326"/>
      <c r="H62" s="326"/>
      <c r="I62" s="326"/>
      <c r="J62" s="326"/>
      <c r="K62" s="334"/>
      <c r="L62" s="334"/>
      <c r="M62" s="334"/>
      <c r="N62" s="334"/>
      <c r="O62" s="334"/>
      <c r="P62" s="339"/>
      <c r="Q62" s="373"/>
      <c r="R62" s="373"/>
      <c r="S62" s="373"/>
      <c r="T62" s="373"/>
      <c r="U62" s="373"/>
      <c r="V62"/>
      <c r="W62"/>
      <c r="X62"/>
      <c r="Y62"/>
      <c r="Z62"/>
      <c r="AA62"/>
      <c r="AB62"/>
      <c r="AC62"/>
    </row>
    <row r="63" spans="1:29" ht="15.6">
      <c r="A63" s="404" t="s">
        <v>835</v>
      </c>
      <c r="B63" s="468"/>
      <c r="C63" s="468"/>
      <c r="D63" s="468"/>
      <c r="E63" s="468"/>
      <c r="F63" s="468"/>
      <c r="G63" s="468"/>
      <c r="H63" s="468"/>
      <c r="I63" s="468"/>
      <c r="J63" s="559"/>
      <c r="K63" s="468"/>
      <c r="L63" s="468"/>
      <c r="M63" s="468"/>
      <c r="N63" s="468"/>
      <c r="O63" s="468"/>
      <c r="P63" s="339"/>
      <c r="Q63" s="373"/>
      <c r="R63" s="373"/>
      <c r="S63" s="373"/>
      <c r="T63" s="373"/>
      <c r="U63" s="373"/>
      <c r="V63"/>
      <c r="W63"/>
      <c r="X63"/>
      <c r="Y63"/>
      <c r="Z63"/>
      <c r="AA63"/>
      <c r="AB63"/>
      <c r="AC63"/>
    </row>
    <row r="64" spans="1:29">
      <c r="A64" s="462" t="s">
        <v>1120</v>
      </c>
      <c r="B64" s="334">
        <f t="shared" ref="B64:O64" si="19">ROUND(B71*(B97+B98),0)</f>
        <v>0</v>
      </c>
      <c r="C64" s="334">
        <f t="shared" si="19"/>
        <v>0</v>
      </c>
      <c r="D64" s="334">
        <f t="shared" si="19"/>
        <v>0</v>
      </c>
      <c r="E64" s="334">
        <f t="shared" si="19"/>
        <v>0</v>
      </c>
      <c r="F64" s="334">
        <f t="shared" si="19"/>
        <v>0</v>
      </c>
      <c r="G64" s="334">
        <f t="shared" si="19"/>
        <v>0</v>
      </c>
      <c r="H64" s="334">
        <f t="shared" si="19"/>
        <v>0</v>
      </c>
      <c r="I64" s="334">
        <f t="shared" si="19"/>
        <v>0</v>
      </c>
      <c r="J64" s="334">
        <f t="shared" si="19"/>
        <v>0</v>
      </c>
      <c r="K64" s="334">
        <f t="shared" si="19"/>
        <v>0</v>
      </c>
      <c r="L64" s="334">
        <f t="shared" si="19"/>
        <v>0</v>
      </c>
      <c r="M64" s="334">
        <f t="shared" si="19"/>
        <v>0</v>
      </c>
      <c r="N64" s="334">
        <f t="shared" si="19"/>
        <v>0</v>
      </c>
      <c r="O64" s="334">
        <f t="shared" si="19"/>
        <v>0</v>
      </c>
      <c r="P64" s="339">
        <f>SUM(B64:O64)</f>
        <v>0</v>
      </c>
      <c r="Q64" s="335"/>
      <c r="R64" s="335"/>
      <c r="S64" s="335"/>
      <c r="T64" s="335"/>
      <c r="U64" s="335"/>
      <c r="V64"/>
      <c r="W64"/>
      <c r="X64"/>
      <c r="Y64"/>
      <c r="Z64"/>
      <c r="AA64"/>
      <c r="AB64"/>
      <c r="AC64"/>
    </row>
    <row r="65" spans="1:29">
      <c r="A65" s="462" t="s">
        <v>832</v>
      </c>
      <c r="B65" s="334">
        <f t="shared" ref="B65:O65" si="20">ROUND(B95*B71,0)</f>
        <v>6000000</v>
      </c>
      <c r="C65" s="334">
        <f t="shared" si="20"/>
        <v>4860000</v>
      </c>
      <c r="D65" s="334">
        <f t="shared" si="20"/>
        <v>8238825</v>
      </c>
      <c r="E65" s="334">
        <f t="shared" si="20"/>
        <v>8307680</v>
      </c>
      <c r="F65" s="334">
        <f t="shared" si="20"/>
        <v>10338432</v>
      </c>
      <c r="G65" s="334">
        <f t="shared" si="20"/>
        <v>0</v>
      </c>
      <c r="H65" s="334">
        <f t="shared" si="20"/>
        <v>66402000</v>
      </c>
      <c r="I65" s="334">
        <f t="shared" si="20"/>
        <v>0</v>
      </c>
      <c r="J65" s="334">
        <f t="shared" si="20"/>
        <v>33240000</v>
      </c>
      <c r="K65" s="334">
        <f t="shared" si="20"/>
        <v>9600000</v>
      </c>
      <c r="L65" s="334">
        <f t="shared" si="20"/>
        <v>83076960</v>
      </c>
      <c r="M65" s="334">
        <f t="shared" si="20"/>
        <v>6923040</v>
      </c>
      <c r="N65" s="334">
        <f t="shared" si="20"/>
        <v>8307680</v>
      </c>
      <c r="O65" s="334">
        <f t="shared" si="20"/>
        <v>0</v>
      </c>
      <c r="P65" s="339">
        <f>SUM(B65:O65)</f>
        <v>245294617</v>
      </c>
      <c r="Q65" s="335"/>
      <c r="R65" s="335"/>
      <c r="S65" s="335"/>
      <c r="T65" s="335"/>
      <c r="U65" s="335"/>
      <c r="V65"/>
      <c r="W65"/>
      <c r="X65"/>
      <c r="Y65"/>
      <c r="Z65"/>
      <c r="AA65"/>
      <c r="AB65"/>
      <c r="AC65"/>
    </row>
    <row r="66" spans="1:29">
      <c r="A66" s="462" t="s">
        <v>833</v>
      </c>
      <c r="B66" s="334">
        <f>ROUND(ROUND(ROUND(ROUND((B123+B113+B114)*B13,0)*12*B15*AB33,0)/261,0)/10,0)</f>
        <v>384368</v>
      </c>
      <c r="C66" s="334"/>
      <c r="D66" s="334"/>
      <c r="E66" s="334"/>
      <c r="F66" s="334"/>
      <c r="G66" s="334"/>
      <c r="H66" s="334">
        <f>ROUND(ROUND(ROUND(ROUND((H123+H113+H114)*H13,0)*12*H15*AB34,0)/261,0)/10,0)</f>
        <v>2891716</v>
      </c>
      <c r="I66" s="334"/>
      <c r="J66" s="444"/>
      <c r="K66" s="334"/>
      <c r="L66" s="334"/>
      <c r="M66" s="334"/>
      <c r="N66" s="334"/>
      <c r="O66" s="334"/>
      <c r="P66" s="339">
        <f>SUM(B66:O66)</f>
        <v>3276084</v>
      </c>
      <c r="Q66" s="335"/>
      <c r="R66" s="335"/>
      <c r="S66" s="335"/>
      <c r="T66" s="335"/>
      <c r="U66" s="335"/>
    </row>
    <row r="67" spans="1:29">
      <c r="A67" s="462" t="s">
        <v>834</v>
      </c>
      <c r="B67" s="334"/>
      <c r="C67" s="334">
        <f>ROUND(ROUND(C123*C13,0)*C60*50%,0)</f>
        <v>5062500</v>
      </c>
      <c r="D67" s="334"/>
      <c r="E67" s="334"/>
      <c r="F67" s="334"/>
      <c r="G67" s="334"/>
      <c r="H67" s="334">
        <f>ROUND(ROUND(H123*H13,0)*H60*50%,0)</f>
        <v>127627500</v>
      </c>
      <c r="I67" s="334"/>
      <c r="J67" s="334"/>
      <c r="K67" s="334"/>
      <c r="L67" s="334"/>
      <c r="M67" s="334"/>
      <c r="N67" s="334">
        <f>ROUND(ROUND(N123*N13,0)*N60*50%,0)</f>
        <v>4875000</v>
      </c>
      <c r="O67" s="334"/>
      <c r="P67" s="339">
        <f>SUM(B67:O67)</f>
        <v>137565000</v>
      </c>
      <c r="Q67" s="335"/>
      <c r="R67" s="335"/>
      <c r="S67" s="335"/>
      <c r="T67" s="335"/>
      <c r="U67" s="335"/>
    </row>
    <row r="68" spans="1:29">
      <c r="A68" s="462"/>
      <c r="B68" s="468"/>
      <c r="C68" s="468"/>
      <c r="D68" s="468"/>
      <c r="E68" s="468"/>
      <c r="F68" s="468"/>
      <c r="G68" s="468"/>
      <c r="H68" s="468"/>
      <c r="I68" s="468"/>
      <c r="J68" s="559"/>
      <c r="K68" s="468"/>
      <c r="L68" s="468"/>
      <c r="M68" s="468"/>
      <c r="N68" s="468"/>
      <c r="O68" s="468"/>
      <c r="P68" s="339"/>
      <c r="Q68" s="341"/>
      <c r="R68" s="341"/>
      <c r="S68" s="341"/>
      <c r="T68" s="341"/>
      <c r="U68" s="341"/>
    </row>
    <row r="69" spans="1:29" ht="15.6">
      <c r="A69" s="404" t="s">
        <v>483</v>
      </c>
      <c r="B69" s="325"/>
      <c r="C69" s="326"/>
      <c r="D69" s="326"/>
      <c r="E69" s="334"/>
      <c r="F69" s="326"/>
      <c r="G69" s="326"/>
      <c r="H69" s="326"/>
      <c r="I69" s="326"/>
      <c r="J69" s="326"/>
      <c r="K69" s="334"/>
      <c r="L69" s="334"/>
      <c r="M69" s="334"/>
      <c r="N69" s="334"/>
      <c r="O69" s="334"/>
      <c r="P69" s="339"/>
      <c r="Q69" s="341"/>
      <c r="R69" s="341"/>
      <c r="S69" s="341"/>
      <c r="T69" s="341"/>
      <c r="U69" s="341"/>
    </row>
    <row r="70" spans="1:29" ht="12.6" customHeight="1">
      <c r="A70" s="436" t="s">
        <v>488</v>
      </c>
      <c r="B70" s="326">
        <f t="shared" ref="B70:O70" si="21">IF(B11&lt;&gt;"C",ROUND(B122*12/52/40,0),0)</f>
        <v>28846</v>
      </c>
      <c r="C70" s="326">
        <f t="shared" si="21"/>
        <v>25962</v>
      </c>
      <c r="D70" s="326">
        <f t="shared" si="21"/>
        <v>40385</v>
      </c>
      <c r="E70" s="326">
        <f t="shared" si="21"/>
        <v>51923</v>
      </c>
      <c r="F70" s="326">
        <f t="shared" si="21"/>
        <v>80769</v>
      </c>
      <c r="G70" s="326">
        <f t="shared" si="21"/>
        <v>0</v>
      </c>
      <c r="H70" s="326">
        <f t="shared" si="21"/>
        <v>629213</v>
      </c>
      <c r="I70" s="326">
        <f t="shared" si="21"/>
        <v>495338</v>
      </c>
      <c r="J70" s="326">
        <f t="shared" si="21"/>
        <v>288462</v>
      </c>
      <c r="K70" s="326">
        <f t="shared" si="21"/>
        <v>46154</v>
      </c>
      <c r="L70" s="326">
        <f t="shared" si="21"/>
        <v>519231</v>
      </c>
      <c r="M70" s="326">
        <f t="shared" si="21"/>
        <v>28846</v>
      </c>
      <c r="N70" s="326">
        <f t="shared" si="21"/>
        <v>37500</v>
      </c>
      <c r="O70" s="326">
        <f t="shared" si="21"/>
        <v>0</v>
      </c>
      <c r="P70" s="339">
        <f t="shared" ref="P70:P78" si="22">SUM(B70:O70)</f>
        <v>2272629</v>
      </c>
      <c r="Q70" s="341"/>
      <c r="R70" s="341"/>
      <c r="S70" s="341"/>
      <c r="T70" s="341"/>
      <c r="U70" s="341"/>
    </row>
    <row r="71" spans="1:29">
      <c r="A71" s="436" t="s">
        <v>499</v>
      </c>
      <c r="B71" s="326">
        <f t="shared" ref="B71:O71" si="23">IF(B11&lt;&gt;"C",ROUND(SUM(B122,B110:B111,B113)*12/52/40,0),0)</f>
        <v>37500</v>
      </c>
      <c r="C71" s="326">
        <f t="shared" si="23"/>
        <v>33750</v>
      </c>
      <c r="D71" s="326">
        <f t="shared" si="23"/>
        <v>52500</v>
      </c>
      <c r="E71" s="326">
        <f t="shared" si="23"/>
        <v>51923</v>
      </c>
      <c r="F71" s="326">
        <f t="shared" si="23"/>
        <v>80769</v>
      </c>
      <c r="G71" s="326">
        <f t="shared" si="23"/>
        <v>0</v>
      </c>
      <c r="H71" s="326">
        <f t="shared" si="23"/>
        <v>830025</v>
      </c>
      <c r="I71" s="326">
        <f t="shared" si="23"/>
        <v>495338</v>
      </c>
      <c r="J71" s="326">
        <f t="shared" si="23"/>
        <v>375000</v>
      </c>
      <c r="K71" s="326">
        <f t="shared" si="23"/>
        <v>60000</v>
      </c>
      <c r="L71" s="326">
        <f t="shared" si="23"/>
        <v>519231</v>
      </c>
      <c r="M71" s="326">
        <f t="shared" si="23"/>
        <v>43269</v>
      </c>
      <c r="N71" s="326">
        <f t="shared" si="23"/>
        <v>51923</v>
      </c>
      <c r="O71" s="326">
        <f t="shared" si="23"/>
        <v>0</v>
      </c>
      <c r="P71" s="339">
        <f t="shared" si="22"/>
        <v>2631228</v>
      </c>
      <c r="Q71" s="341"/>
      <c r="R71" s="341"/>
      <c r="S71" s="341"/>
      <c r="T71" s="341"/>
      <c r="U71" s="341"/>
    </row>
    <row r="72" spans="1:29">
      <c r="A72" s="436" t="s">
        <v>500</v>
      </c>
      <c r="B72" s="326">
        <f t="shared" ref="B72:O72" si="24">ROUND(B122/B15,0)</f>
        <v>227273</v>
      </c>
      <c r="C72" s="326">
        <f t="shared" si="24"/>
        <v>204545</v>
      </c>
      <c r="D72" s="326">
        <f t="shared" si="24"/>
        <v>318182</v>
      </c>
      <c r="E72" s="326">
        <f t="shared" si="24"/>
        <v>409091</v>
      </c>
      <c r="F72" s="326">
        <f t="shared" si="24"/>
        <v>636364</v>
      </c>
      <c r="G72" s="326">
        <f t="shared" si="24"/>
        <v>0</v>
      </c>
      <c r="H72" s="326">
        <f t="shared" si="24"/>
        <v>4957432</v>
      </c>
      <c r="I72" s="326">
        <f t="shared" si="24"/>
        <v>3902659</v>
      </c>
      <c r="J72" s="326">
        <f t="shared" si="24"/>
        <v>2272727</v>
      </c>
      <c r="K72" s="326">
        <f t="shared" si="24"/>
        <v>363636</v>
      </c>
      <c r="L72" s="326">
        <f t="shared" si="24"/>
        <v>4090909</v>
      </c>
      <c r="M72" s="326">
        <f t="shared" si="24"/>
        <v>227273</v>
      </c>
      <c r="N72" s="326">
        <f t="shared" si="24"/>
        <v>295455</v>
      </c>
      <c r="O72" s="326">
        <f t="shared" si="24"/>
        <v>0</v>
      </c>
      <c r="P72" s="339">
        <f t="shared" si="22"/>
        <v>17905546</v>
      </c>
      <c r="Q72" s="341"/>
      <c r="R72" s="341"/>
      <c r="S72" s="341"/>
      <c r="T72" s="341"/>
      <c r="U72" s="341"/>
    </row>
    <row r="73" spans="1:29">
      <c r="A73" s="436" t="s">
        <v>621</v>
      </c>
      <c r="B73" s="326">
        <f t="shared" ref="B73:O73" si="25">ROUND(SUM(B110:B112,B114:B116)/B15,0)</f>
        <v>68182</v>
      </c>
      <c r="C73" s="326">
        <f t="shared" si="25"/>
        <v>61364</v>
      </c>
      <c r="D73" s="326">
        <f t="shared" si="25"/>
        <v>95455</v>
      </c>
      <c r="E73" s="326">
        <f t="shared" si="25"/>
        <v>0</v>
      </c>
      <c r="F73" s="326">
        <f t="shared" si="25"/>
        <v>0</v>
      </c>
      <c r="G73" s="326">
        <f t="shared" si="25"/>
        <v>0</v>
      </c>
      <c r="H73" s="326">
        <f t="shared" si="25"/>
        <v>1582159</v>
      </c>
      <c r="I73" s="326">
        <f t="shared" si="25"/>
        <v>0</v>
      </c>
      <c r="J73" s="326">
        <f t="shared" si="25"/>
        <v>681818</v>
      </c>
      <c r="K73" s="326">
        <f t="shared" si="25"/>
        <v>109091</v>
      </c>
      <c r="L73" s="326">
        <f t="shared" si="25"/>
        <v>0</v>
      </c>
      <c r="M73" s="326">
        <f t="shared" si="25"/>
        <v>113636</v>
      </c>
      <c r="N73" s="326">
        <f t="shared" si="25"/>
        <v>113636</v>
      </c>
      <c r="O73" s="326">
        <f t="shared" si="25"/>
        <v>0</v>
      </c>
      <c r="P73" s="339">
        <f t="shared" si="22"/>
        <v>2825341</v>
      </c>
      <c r="Q73" s="341"/>
      <c r="R73" s="341"/>
      <c r="S73" s="341"/>
      <c r="T73" s="341"/>
      <c r="U73" s="341"/>
    </row>
    <row r="74" spans="1:29">
      <c r="A74" s="436" t="s">
        <v>501</v>
      </c>
      <c r="B74" s="631">
        <f t="shared" ref="B74:O74" si="26">ROUND(B14/B15*B13,7)</f>
        <v>1</v>
      </c>
      <c r="C74" s="631">
        <f t="shared" si="26"/>
        <v>0.9</v>
      </c>
      <c r="D74" s="631">
        <f t="shared" si="26"/>
        <v>1</v>
      </c>
      <c r="E74" s="631">
        <f t="shared" si="26"/>
        <v>1</v>
      </c>
      <c r="F74" s="631">
        <f t="shared" si="26"/>
        <v>0.8</v>
      </c>
      <c r="G74" s="631">
        <f t="shared" si="26"/>
        <v>1</v>
      </c>
      <c r="H74" s="631">
        <f t="shared" si="26"/>
        <v>0.5</v>
      </c>
      <c r="I74" s="631">
        <f t="shared" si="26"/>
        <v>0.75</v>
      </c>
      <c r="J74" s="631">
        <f t="shared" si="26"/>
        <v>0.6</v>
      </c>
      <c r="K74" s="631">
        <f t="shared" si="26"/>
        <v>1</v>
      </c>
      <c r="L74" s="631">
        <f t="shared" si="26"/>
        <v>1</v>
      </c>
      <c r="M74" s="631">
        <f t="shared" si="26"/>
        <v>1</v>
      </c>
      <c r="N74" s="631">
        <f t="shared" si="26"/>
        <v>1</v>
      </c>
      <c r="O74" s="631">
        <f t="shared" si="26"/>
        <v>1</v>
      </c>
      <c r="P74" s="339"/>
      <c r="Q74" s="342"/>
      <c r="R74" s="342"/>
      <c r="S74" s="342"/>
      <c r="T74" s="342"/>
      <c r="U74" s="342"/>
    </row>
    <row r="75" spans="1:29">
      <c r="A75" s="436" t="s">
        <v>502</v>
      </c>
      <c r="B75" s="631">
        <f t="shared" ref="B75:O75" si="27">ROUND((B14-B117)/261*B13,8)</f>
        <v>8.4291190000000002E-2</v>
      </c>
      <c r="C75" s="631">
        <f t="shared" si="27"/>
        <v>7.5862070000000004E-2</v>
      </c>
      <c r="D75" s="631">
        <f t="shared" si="27"/>
        <v>8.4291190000000002E-2</v>
      </c>
      <c r="E75" s="631">
        <f t="shared" si="27"/>
        <v>8.4291190000000002E-2</v>
      </c>
      <c r="F75" s="631">
        <f t="shared" si="27"/>
        <v>6.7432950000000005E-2</v>
      </c>
      <c r="G75" s="631">
        <f t="shared" si="27"/>
        <v>8.4291190000000002E-2</v>
      </c>
      <c r="H75" s="631">
        <f t="shared" si="27"/>
        <v>4.2145589999999997E-2</v>
      </c>
      <c r="I75" s="631">
        <f t="shared" si="27"/>
        <v>6.3218389999999999E-2</v>
      </c>
      <c r="J75" s="631">
        <f t="shared" si="27"/>
        <v>5.0574710000000002E-2</v>
      </c>
      <c r="K75" s="631">
        <f t="shared" si="27"/>
        <v>8.4291190000000002E-2</v>
      </c>
      <c r="L75" s="631">
        <f t="shared" si="27"/>
        <v>8.4291190000000002E-2</v>
      </c>
      <c r="M75" s="631">
        <f t="shared" si="27"/>
        <v>8.4291190000000002E-2</v>
      </c>
      <c r="N75" s="631">
        <f t="shared" si="27"/>
        <v>8.4291190000000002E-2</v>
      </c>
      <c r="O75" s="631">
        <f t="shared" si="27"/>
        <v>8.4291190000000002E-2</v>
      </c>
      <c r="P75" s="339"/>
      <c r="Q75" s="341"/>
      <c r="R75" s="341"/>
      <c r="S75" s="341"/>
      <c r="T75" s="341"/>
      <c r="U75" s="341"/>
    </row>
    <row r="76" spans="1:29">
      <c r="A76" s="436" t="s">
        <v>503</v>
      </c>
      <c r="B76" s="631">
        <f t="shared" ref="B76:O76" si="28">ROUND(B119/B15,7)</f>
        <v>0</v>
      </c>
      <c r="C76" s="631">
        <f t="shared" si="28"/>
        <v>0</v>
      </c>
      <c r="D76" s="631">
        <f t="shared" si="28"/>
        <v>0</v>
      </c>
      <c r="E76" s="631">
        <f t="shared" si="28"/>
        <v>0</v>
      </c>
      <c r="F76" s="631">
        <f t="shared" si="28"/>
        <v>0</v>
      </c>
      <c r="G76" s="631">
        <f t="shared" si="28"/>
        <v>0</v>
      </c>
      <c r="H76" s="631">
        <f t="shared" si="28"/>
        <v>0</v>
      </c>
      <c r="I76" s="631">
        <f t="shared" si="28"/>
        <v>0</v>
      </c>
      <c r="J76" s="631">
        <f t="shared" si="28"/>
        <v>0</v>
      </c>
      <c r="K76" s="631">
        <f t="shared" si="28"/>
        <v>0</v>
      </c>
      <c r="L76" s="631">
        <f t="shared" si="28"/>
        <v>0</v>
      </c>
      <c r="M76" s="631">
        <f t="shared" si="28"/>
        <v>0</v>
      </c>
      <c r="N76" s="631">
        <f t="shared" si="28"/>
        <v>0</v>
      </c>
      <c r="O76" s="631">
        <f t="shared" si="28"/>
        <v>0</v>
      </c>
      <c r="P76" s="339"/>
      <c r="Q76" s="341"/>
      <c r="R76" s="341"/>
      <c r="S76" s="341"/>
      <c r="T76" s="341"/>
      <c r="U76" s="341"/>
    </row>
    <row r="77" spans="1:29">
      <c r="A77" s="408" t="s">
        <v>492</v>
      </c>
      <c r="B77" s="325">
        <f>ROUND(AA23*B16/365,0)</f>
        <v>657534</v>
      </c>
      <c r="C77" s="326">
        <f>ROUND(AA24*C16/365,0)</f>
        <v>657534</v>
      </c>
      <c r="E77" s="326">
        <f>ROUND(AA25*E16/365,0)</f>
        <v>657534</v>
      </c>
      <c r="F77" s="326">
        <f>ROUND(AA26*F16/365,0)</f>
        <v>657534</v>
      </c>
      <c r="G77" s="326"/>
      <c r="H77" s="326">
        <f>ROUND(AA27*G16/365,0)</f>
        <v>657534</v>
      </c>
      <c r="I77" s="326"/>
      <c r="J77" s="326"/>
      <c r="K77" s="334"/>
      <c r="L77" s="334"/>
      <c r="M77" s="334"/>
      <c r="N77" s="334"/>
      <c r="O77" s="334"/>
      <c r="P77" s="339">
        <f t="shared" si="22"/>
        <v>3287670</v>
      </c>
      <c r="Q77" s="341"/>
      <c r="R77" s="341"/>
      <c r="S77" s="341"/>
      <c r="T77" s="341"/>
      <c r="U77" s="341"/>
    </row>
    <row r="78" spans="1:29">
      <c r="A78" s="405" t="s">
        <v>534</v>
      </c>
      <c r="B78" s="325"/>
      <c r="C78" s="326"/>
      <c r="E78" s="326"/>
      <c r="F78" s="326"/>
      <c r="G78" s="326"/>
      <c r="H78" s="326">
        <f>ROUND(AA28*G16/365,0)</f>
        <v>575342</v>
      </c>
      <c r="I78" s="326"/>
      <c r="J78" s="326"/>
      <c r="K78" s="326"/>
      <c r="L78" s="326"/>
      <c r="M78" s="326"/>
      <c r="N78" s="326"/>
      <c r="O78" s="326"/>
      <c r="P78" s="339">
        <f t="shared" si="22"/>
        <v>575342</v>
      </c>
      <c r="Q78" s="341"/>
      <c r="R78" s="341"/>
      <c r="S78" s="341"/>
      <c r="T78" s="341"/>
      <c r="U78" s="341"/>
    </row>
    <row r="79" spans="1:29">
      <c r="A79" s="405"/>
      <c r="B79" s="325"/>
      <c r="C79" s="326"/>
      <c r="D79" s="326"/>
      <c r="E79" s="334"/>
      <c r="F79" s="326"/>
      <c r="G79" s="326"/>
      <c r="H79" s="326"/>
      <c r="I79" s="326"/>
      <c r="J79" s="326"/>
      <c r="K79" s="334"/>
      <c r="L79" s="334"/>
      <c r="M79" s="334"/>
      <c r="N79" s="334"/>
      <c r="O79" s="334"/>
      <c r="P79" s="339"/>
      <c r="Q79" s="341"/>
      <c r="R79" s="341"/>
      <c r="S79" s="341"/>
      <c r="T79" s="341"/>
      <c r="U79" s="341"/>
    </row>
    <row r="80" spans="1:29">
      <c r="A80" s="436" t="s">
        <v>576</v>
      </c>
      <c r="B80" s="326">
        <f t="shared" ref="B80:O80" si="29">SUM(B24:B27)</f>
        <v>6500000</v>
      </c>
      <c r="C80" s="326">
        <f t="shared" si="29"/>
        <v>5265000</v>
      </c>
      <c r="D80" s="326">
        <f t="shared" si="29"/>
        <v>9100000</v>
      </c>
      <c r="E80" s="326">
        <f t="shared" si="29"/>
        <v>9000000</v>
      </c>
      <c r="F80" s="326">
        <f t="shared" si="29"/>
        <v>11200000</v>
      </c>
      <c r="G80" s="326">
        <f t="shared" si="29"/>
        <v>23205000</v>
      </c>
      <c r="H80" s="326">
        <f t="shared" si="29"/>
        <v>68454750</v>
      </c>
      <c r="I80" s="326">
        <f t="shared" si="29"/>
        <v>62653500</v>
      </c>
      <c r="J80" s="326">
        <f t="shared" si="29"/>
        <v>39000000</v>
      </c>
      <c r="K80" s="326">
        <f t="shared" si="29"/>
        <v>10400000</v>
      </c>
      <c r="L80" s="326">
        <f t="shared" si="29"/>
        <v>90000000</v>
      </c>
      <c r="M80" s="326">
        <f t="shared" si="29"/>
        <v>7500000</v>
      </c>
      <c r="N80" s="326">
        <f t="shared" si="29"/>
        <v>9000000</v>
      </c>
      <c r="O80" s="326">
        <f t="shared" si="29"/>
        <v>4000000</v>
      </c>
      <c r="P80" s="339">
        <f t="shared" ref="P80:P126" si="30">SUM(B80:O80)</f>
        <v>355278250</v>
      </c>
      <c r="Q80" s="341"/>
      <c r="R80" s="341"/>
      <c r="S80" s="341"/>
      <c r="T80" s="341"/>
      <c r="U80" s="341"/>
    </row>
    <row r="81" spans="1:21">
      <c r="A81" s="436" t="s">
        <v>484</v>
      </c>
      <c r="B81" s="326">
        <f>SUM(B24:B27,B30)</f>
        <v>6694778</v>
      </c>
      <c r="C81" s="326">
        <f t="shared" ref="C81:O81" si="31">SUM(C24:C27,C30)</f>
        <v>5615600</v>
      </c>
      <c r="D81" s="326">
        <f t="shared" si="31"/>
        <v>9100000</v>
      </c>
      <c r="E81" s="326">
        <f t="shared" si="31"/>
        <v>9292167</v>
      </c>
      <c r="F81" s="326">
        <f t="shared" si="31"/>
        <v>11200000</v>
      </c>
      <c r="G81" s="326">
        <f t="shared" si="31"/>
        <v>23205000</v>
      </c>
      <c r="H81" s="326">
        <f t="shared" si="31"/>
        <v>71630186</v>
      </c>
      <c r="I81" s="326">
        <f t="shared" si="31"/>
        <v>62653500</v>
      </c>
      <c r="J81" s="326">
        <f t="shared" si="31"/>
        <v>39000000</v>
      </c>
      <c r="K81" s="326">
        <f t="shared" si="31"/>
        <v>10400000</v>
      </c>
      <c r="L81" s="326">
        <f t="shared" si="31"/>
        <v>90000000</v>
      </c>
      <c r="M81" s="326">
        <f t="shared" si="31"/>
        <v>7500000</v>
      </c>
      <c r="N81" s="326">
        <f t="shared" si="31"/>
        <v>9000000</v>
      </c>
      <c r="O81" s="326">
        <f t="shared" si="31"/>
        <v>4000000</v>
      </c>
      <c r="P81" s="339">
        <f t="shared" si="30"/>
        <v>359291231</v>
      </c>
      <c r="Q81" s="341"/>
      <c r="R81" s="341"/>
      <c r="S81" s="341"/>
      <c r="T81" s="341"/>
      <c r="U81" s="341"/>
    </row>
    <row r="82" spans="1:21">
      <c r="A82" s="436" t="s">
        <v>578</v>
      </c>
      <c r="B82" s="326">
        <f t="shared" ref="B82:O82" si="32">MIN(IF(OR(B18="A",B18="B"),ROUND(SUM(B108,B110,B111,B113)*B13,0),B124),27800000)</f>
        <v>6500000</v>
      </c>
      <c r="C82" s="326">
        <f t="shared" si="32"/>
        <v>5265000</v>
      </c>
      <c r="D82" s="326">
        <f t="shared" si="32"/>
        <v>9100000</v>
      </c>
      <c r="E82" s="326">
        <f t="shared" si="32"/>
        <v>9000000</v>
      </c>
      <c r="F82" s="326">
        <f t="shared" si="32"/>
        <v>11200000</v>
      </c>
      <c r="G82" s="326">
        <f t="shared" si="32"/>
        <v>0</v>
      </c>
      <c r="H82" s="326">
        <f t="shared" si="32"/>
        <v>27800000</v>
      </c>
      <c r="I82" s="326">
        <f t="shared" si="32"/>
        <v>27800000</v>
      </c>
      <c r="J82" s="326">
        <f t="shared" si="32"/>
        <v>27800000</v>
      </c>
      <c r="K82" s="326">
        <f t="shared" si="32"/>
        <v>10400000</v>
      </c>
      <c r="L82" s="326">
        <f t="shared" si="32"/>
        <v>27800000</v>
      </c>
      <c r="M82" s="326">
        <f t="shared" si="32"/>
        <v>7500000</v>
      </c>
      <c r="N82" s="326">
        <f t="shared" si="32"/>
        <v>9000000</v>
      </c>
      <c r="O82" s="326">
        <f t="shared" si="32"/>
        <v>0</v>
      </c>
      <c r="P82" s="339">
        <f t="shared" si="30"/>
        <v>179165000</v>
      </c>
      <c r="Q82" s="341"/>
      <c r="R82" s="341"/>
      <c r="S82" s="341"/>
      <c r="T82" s="341"/>
      <c r="U82" s="341"/>
    </row>
    <row r="83" spans="1:21">
      <c r="A83" s="405" t="s">
        <v>1200</v>
      </c>
      <c r="B83" s="326">
        <f t="shared" ref="B83:O83" si="33">MIN(IF(OR(B18="A",B18="B"),ROUND(SUM(B108,B110,B111,B113)*B13,0),B125))</f>
        <v>6500000</v>
      </c>
      <c r="C83" s="326">
        <f t="shared" si="33"/>
        <v>5265000</v>
      </c>
      <c r="D83" s="326">
        <f t="shared" si="33"/>
        <v>9100000</v>
      </c>
      <c r="E83" s="326">
        <f t="shared" si="33"/>
        <v>9000000</v>
      </c>
      <c r="F83" s="326">
        <f t="shared" si="33"/>
        <v>11200000</v>
      </c>
      <c r="G83" s="326">
        <f t="shared" si="33"/>
        <v>0</v>
      </c>
      <c r="H83" s="326">
        <f t="shared" si="33"/>
        <v>69325000</v>
      </c>
      <c r="I83" s="326">
        <f t="shared" si="33"/>
        <v>63450000</v>
      </c>
      <c r="J83" s="326">
        <f t="shared" si="33"/>
        <v>39000000</v>
      </c>
      <c r="K83" s="326">
        <f t="shared" si="33"/>
        <v>10400000</v>
      </c>
      <c r="L83" s="326">
        <f t="shared" si="33"/>
        <v>90000000</v>
      </c>
      <c r="M83" s="326">
        <f t="shared" si="33"/>
        <v>7500000</v>
      </c>
      <c r="N83" s="326">
        <f t="shared" si="33"/>
        <v>9000000</v>
      </c>
      <c r="O83" s="326">
        <f t="shared" si="33"/>
        <v>0</v>
      </c>
      <c r="P83" s="339">
        <f t="shared" si="30"/>
        <v>329740000</v>
      </c>
      <c r="Q83" s="341"/>
      <c r="R83" s="341"/>
      <c r="S83" s="341"/>
      <c r="T83" s="341"/>
      <c r="U83" s="341"/>
    </row>
    <row r="84" spans="1:21">
      <c r="A84" s="405" t="s">
        <v>580</v>
      </c>
      <c r="B84" s="326">
        <f t="shared" ref="B84:O84" si="34">IF(OR(B18="A",B18="B"),ROUND(SUM(B123,B110,B111,B114,B115,B113)*B13,0),ROUND(SUM(B123,B110,B111,B113)*B13,0))</f>
        <v>6500000</v>
      </c>
      <c r="C84" s="326">
        <f t="shared" si="34"/>
        <v>5265000</v>
      </c>
      <c r="D84" s="326">
        <f t="shared" si="34"/>
        <v>9100000</v>
      </c>
      <c r="E84" s="326">
        <f t="shared" si="34"/>
        <v>9000000</v>
      </c>
      <c r="F84" s="326">
        <f t="shared" si="34"/>
        <v>11200000</v>
      </c>
      <c r="G84" s="326">
        <f t="shared" si="34"/>
        <v>0</v>
      </c>
      <c r="H84" s="326">
        <f t="shared" si="34"/>
        <v>68454750</v>
      </c>
      <c r="I84" s="326">
        <f t="shared" si="34"/>
        <v>62653500</v>
      </c>
      <c r="J84" s="326">
        <f t="shared" si="34"/>
        <v>39000000</v>
      </c>
      <c r="K84" s="326">
        <f t="shared" si="34"/>
        <v>10400000</v>
      </c>
      <c r="L84" s="326">
        <f t="shared" si="34"/>
        <v>90000000</v>
      </c>
      <c r="M84" s="326">
        <f t="shared" si="34"/>
        <v>7500000</v>
      </c>
      <c r="N84" s="326">
        <f t="shared" si="34"/>
        <v>9000000</v>
      </c>
      <c r="O84" s="326">
        <f t="shared" si="34"/>
        <v>0</v>
      </c>
      <c r="P84" s="339">
        <f t="shared" si="30"/>
        <v>328073250</v>
      </c>
      <c r="Q84" s="341"/>
      <c r="R84" s="341"/>
      <c r="S84" s="341"/>
      <c r="T84" s="341"/>
      <c r="U84" s="341"/>
    </row>
    <row r="85" spans="1:21">
      <c r="A85" s="405" t="s">
        <v>481</v>
      </c>
      <c r="B85" s="326">
        <f>ROUND('UAT3-Mar'!B78/3,0)</f>
        <v>9033333</v>
      </c>
      <c r="C85" s="326">
        <f>ROUND('UAT3-Mar'!C78/3,0)</f>
        <v>7983000</v>
      </c>
      <c r="D85" s="326">
        <f>ROUND('UAT3-Mar'!D78/3,0)</f>
        <v>11132319</v>
      </c>
      <c r="E85" s="326">
        <f>ROUND('UAT3-Mar'!E78/3,0)</f>
        <v>10200000</v>
      </c>
      <c r="F85" s="326">
        <f>ROUND('UAT3-Mar'!F78/3,0)</f>
        <v>12160000</v>
      </c>
      <c r="G85" s="326">
        <f>ROUND('UAT3-Mar'!G78/3,0)</f>
        <v>0</v>
      </c>
      <c r="H85" s="326">
        <f>ROUND('UAT3-Mar'!H78/3,0)</f>
        <v>71162000</v>
      </c>
      <c r="I85" s="326">
        <f>ROUND('UAT3-Mar'!I78/3,0)</f>
        <v>66540337</v>
      </c>
      <c r="J85" s="326">
        <f>ROUND('UAT3-Mar'!J78/3,0)</f>
        <v>39000000</v>
      </c>
      <c r="K85" s="326">
        <f>ROUND('UAT3-Mar'!K78/3,0)</f>
        <v>10886667</v>
      </c>
      <c r="L85" s="326">
        <f>ROUND('UAT3-Mar'!L78/3,0)</f>
        <v>90000000</v>
      </c>
      <c r="M85" s="326">
        <f>ROUND('UAT3-Mar'!M78/3,0)</f>
        <v>7500000</v>
      </c>
      <c r="N85" s="326">
        <f>ROUND('UAT3-Mar'!N78/3,0)</f>
        <v>9000000</v>
      </c>
      <c r="O85" s="326">
        <f>ROUND('UAT3-Mar'!O78/3,0)</f>
        <v>0</v>
      </c>
      <c r="P85" s="339">
        <f t="shared" si="30"/>
        <v>344597656</v>
      </c>
      <c r="Q85" s="341"/>
      <c r="R85" s="341"/>
      <c r="S85" s="341"/>
      <c r="T85" s="341"/>
      <c r="U85" s="341"/>
    </row>
    <row r="86" spans="1:21">
      <c r="A86" s="436" t="s">
        <v>600</v>
      </c>
      <c r="B86" s="326">
        <f t="shared" ref="B86:O86" si="35">SUM(B36:B38)</f>
        <v>682500</v>
      </c>
      <c r="C86" s="326">
        <f t="shared" si="35"/>
        <v>552825</v>
      </c>
      <c r="D86" s="326">
        <f t="shared" si="35"/>
        <v>227500</v>
      </c>
      <c r="E86" s="326">
        <f t="shared" si="35"/>
        <v>945000</v>
      </c>
      <c r="F86" s="326">
        <f t="shared" si="35"/>
        <v>0</v>
      </c>
      <c r="G86" s="326">
        <f t="shared" si="35"/>
        <v>0</v>
      </c>
      <c r="H86" s="326">
        <f t="shared" si="35"/>
        <v>417000</v>
      </c>
      <c r="I86" s="326">
        <f t="shared" si="35"/>
        <v>417000</v>
      </c>
      <c r="J86" s="326">
        <f t="shared" si="35"/>
        <v>3031000</v>
      </c>
      <c r="K86" s="326">
        <f t="shared" si="35"/>
        <v>0</v>
      </c>
      <c r="L86" s="326">
        <f t="shared" si="35"/>
        <v>3477000</v>
      </c>
      <c r="M86" s="326">
        <f t="shared" si="35"/>
        <v>0</v>
      </c>
      <c r="N86" s="326">
        <f t="shared" si="35"/>
        <v>0</v>
      </c>
      <c r="O86" s="326">
        <f t="shared" si="35"/>
        <v>0</v>
      </c>
      <c r="P86" s="339">
        <f t="shared" si="30"/>
        <v>9749825</v>
      </c>
      <c r="Q86" s="341"/>
      <c r="R86" s="341"/>
      <c r="S86" s="341"/>
      <c r="T86" s="341"/>
      <c r="U86" s="341"/>
    </row>
    <row r="87" spans="1:21">
      <c r="A87" s="436" t="s">
        <v>577</v>
      </c>
      <c r="B87" s="326">
        <f t="shared" ref="B87:O87" si="36">IF(OR(B18="A",B18="C"),B81-B86,B81)</f>
        <v>6012278</v>
      </c>
      <c r="C87" s="326">
        <f t="shared" si="36"/>
        <v>5062775</v>
      </c>
      <c r="D87" s="326">
        <f t="shared" si="36"/>
        <v>8872500</v>
      </c>
      <c r="E87" s="326">
        <f t="shared" si="36"/>
        <v>9292167</v>
      </c>
      <c r="F87" s="326">
        <f t="shared" si="36"/>
        <v>11200000</v>
      </c>
      <c r="G87" s="326">
        <f t="shared" si="36"/>
        <v>23205000</v>
      </c>
      <c r="H87" s="326">
        <f t="shared" si="36"/>
        <v>71630186</v>
      </c>
      <c r="I87" s="326">
        <f t="shared" si="36"/>
        <v>62653500</v>
      </c>
      <c r="J87" s="326">
        <f t="shared" si="36"/>
        <v>35969000</v>
      </c>
      <c r="K87" s="326">
        <f t="shared" si="36"/>
        <v>10400000</v>
      </c>
      <c r="L87" s="326">
        <f t="shared" si="36"/>
        <v>86523000</v>
      </c>
      <c r="M87" s="326">
        <f t="shared" si="36"/>
        <v>7500000</v>
      </c>
      <c r="N87" s="326">
        <f t="shared" si="36"/>
        <v>9000000</v>
      </c>
      <c r="O87" s="326">
        <f t="shared" si="36"/>
        <v>4000000</v>
      </c>
      <c r="P87" s="339">
        <f t="shared" si="30"/>
        <v>351320406</v>
      </c>
      <c r="Q87" s="341"/>
      <c r="R87" s="341"/>
      <c r="S87" s="341"/>
      <c r="T87" s="341"/>
      <c r="U87" s="341"/>
    </row>
    <row r="88" spans="1:21">
      <c r="A88" s="436" t="s">
        <v>849</v>
      </c>
      <c r="B88" s="326">
        <f t="shared" ref="B88:O88" si="37">MAX(B87-B20-B21,0)</f>
        <v>0</v>
      </c>
      <c r="C88" s="326">
        <f t="shared" si="37"/>
        <v>0</v>
      </c>
      <c r="D88" s="326">
        <f t="shared" si="37"/>
        <v>0</v>
      </c>
      <c r="E88" s="326">
        <f t="shared" si="37"/>
        <v>9292167</v>
      </c>
      <c r="F88" s="326">
        <f t="shared" si="37"/>
        <v>11200000</v>
      </c>
      <c r="G88" s="326">
        <f t="shared" si="37"/>
        <v>14205000</v>
      </c>
      <c r="H88" s="326">
        <f t="shared" si="37"/>
        <v>71630186</v>
      </c>
      <c r="I88" s="326">
        <f t="shared" si="37"/>
        <v>62653500</v>
      </c>
      <c r="J88" s="326">
        <f t="shared" si="37"/>
        <v>26969000</v>
      </c>
      <c r="K88" s="326">
        <f t="shared" si="37"/>
        <v>1400000</v>
      </c>
      <c r="L88" s="326">
        <f t="shared" si="37"/>
        <v>77523000</v>
      </c>
      <c r="M88" s="326">
        <f t="shared" si="37"/>
        <v>0</v>
      </c>
      <c r="N88" s="326">
        <f t="shared" si="37"/>
        <v>0</v>
      </c>
      <c r="O88" s="326">
        <f t="shared" si="37"/>
        <v>4000000</v>
      </c>
      <c r="P88" s="339">
        <f t="shared" si="30"/>
        <v>278872853</v>
      </c>
      <c r="Q88" s="374"/>
      <c r="R88" s="374"/>
      <c r="S88" s="374"/>
      <c r="T88" s="374"/>
      <c r="U88" s="374"/>
    </row>
    <row r="89" spans="1:21">
      <c r="A89" s="436" t="s">
        <v>1233</v>
      </c>
      <c r="B89" s="326">
        <f>IF(OR(B18="A",B18="C"),ROUND(MAX(B88*{5;10;15;20;25;30;35}%-{0;0.25;0.75;1.65;3.25;5.85;9.85}*1000000,0),0),IF(B18="B",IF(B88&lt;2000000,0,ROUND(B88*10%,0)),ROUND(B88*20%,0)))</f>
        <v>0</v>
      </c>
      <c r="C89" s="326">
        <f>IF(OR(C18="A",C18="C"),ROUND(MAX(C88*{5;10;15;20;25;30;35}%-{0;0.25;0.75;1.65;3.25;5.85;9.85}*1000000,0),0),IF(C18="B",IF(C88&lt;2000000,0,ROUND(C88*10%,0)),ROUND(C88*20%,0)))</f>
        <v>0</v>
      </c>
      <c r="D89" s="326">
        <f>IF(OR(D18="A",D18="C"),ROUND(MAX(D88*{5;10;15;20;25;30;35}%-{0;0.25;0.75;1.65;3.25;5.85;9.85}*1000000,0),0),IF(D18="B",IF(D88&lt;2000000,0,ROUND(D88*10%,0)),ROUND(D88*20%,0)))</f>
        <v>0</v>
      </c>
      <c r="E89" s="326">
        <f>IF(OR(E18="A",E18="C"),ROUND(MAX(E88*{5;10;15;20;25;30;35}%-{0;0.25;0.75;1.65;3.25;5.85;9.85}*1000000,0),0),IF(E18="B",IF(E88&lt;2000000,0,ROUND(E88*10%,0)),ROUND(E88*20%,0)))</f>
        <v>929217</v>
      </c>
      <c r="F89" s="326">
        <f>IF(OR(F18="A",F18="C"),ROUND(MAX(F88*{5;10;15;20;25;30;35}%-{0;0.25;0.75;1.65;3.25;5.85;9.85}*1000000,0),0),IF(F18="B",IF(F88&lt;2000000,0,ROUND(F88*10%,0)),ROUND(F88*20%,0)))</f>
        <v>1120000</v>
      </c>
      <c r="G89" s="326">
        <f>IF(OR(G18="A",G18="C"),ROUND(MAX(G88*{5;10;15;20;25;30;35}%-{0;0.25;0.75;1.65;3.25;5.85;9.85}*1000000,0),0),IF(G18="B",IF(G88&lt;2000000,0,ROUND(G88*10%,0)),ROUND(G88*20%,0)))</f>
        <v>1380750</v>
      </c>
      <c r="H89" s="326">
        <f>IF(OR(H18="A",H18="C"),ROUND(MAX(H88*{5;10;15;20;25;30;35}%-{0;0.25;0.75;1.65;3.25;5.85;9.85}*1000000,0),0),IF(H18="B",IF(H88&lt;2000000,0,ROUND(H88*10%,0)),ROUND(H88*20%,0)))</f>
        <v>14326037</v>
      </c>
      <c r="I89" s="326">
        <f>IF(OR(I18="A",I18="C"),ROUND(MAX(I88*{5;10;15;20;25;30;35}%-{0;0.25;0.75;1.65;3.25;5.85;9.85}*1000000,0),0),IF(I18="B",IF(I88&lt;2000000,0,ROUND(I88*10%,0)),ROUND(I88*20%,0)))</f>
        <v>12530700</v>
      </c>
      <c r="J89" s="326">
        <f>IF(OR(J18="A",J18="C"),ROUND(MAX(J88*{5;10;15;20;25;30;35}%-{0;0.25;0.75;1.65;3.25;5.85;9.85}*1000000,0),0),IF(J18="B",IF(J88&lt;2000000,0,ROUND(J88*10%,0)),ROUND(J88*20%,0)))</f>
        <v>3743800</v>
      </c>
      <c r="K89" s="326">
        <f>IF(OR(K18="A",K18="C"),ROUND(MAX(K88*{5;10;15;20;25;30;35}%-{0;0.25;0.75;1.65;3.25;5.85;9.85}*1000000,0),0),IF(K18="B",IF(K88&lt;2000000,0,ROUND(K88*10%,0)),ROUND(K88*20%,0)))</f>
        <v>70000</v>
      </c>
      <c r="L89" s="326">
        <f>IF(OR(L18="A",L18="C"),ROUND(MAX(L88*{5;10;15;20;25;30;35}%-{0;0.25;0.75;1.65;3.25;5.85;9.85}*1000000,0),0),IF(L18="B",IF(L88&lt;2000000,0,ROUND(L88*10%,0)),ROUND(L88*20%,0)))</f>
        <v>17406900</v>
      </c>
      <c r="M89" s="326">
        <f>IF(OR(M18="A",M18="C"),ROUND(MAX(M88*{5;10;15;20;25;30;35}%-{0;0.25;0.75;1.65;3.25;5.85;9.85}*1000000,0),0),IF(M18="B",IF(M88&lt;2000000,0,ROUND(M88*10%,0)),ROUND(M88*20%,0)))</f>
        <v>0</v>
      </c>
      <c r="N89" s="326">
        <f>IF(OR(N18="A",N18="C"),ROUND(MAX(N88*{5;10;15;20;25;30;35}%-{0;0.25;0.75;1.65;3.25;5.85;9.85}*1000000,0),0),IF(N18="B",IF(N88&lt;2000000,0,ROUND(N88*10%,0)),ROUND(N88*20%,0)))</f>
        <v>0</v>
      </c>
      <c r="O89" s="326">
        <f>IF(OR(O18="A",O18="C"),ROUND(MAX(O88*{5;10;15;20;25;30;35}%-{0;0.25;0.75;1.65;3.25;5.85;9.85}*1000000,0),0),IF(O18="B",IF(O88&lt;2000000,0,ROUND(O88*10%,0)),ROUND(O88*20%,0)))</f>
        <v>400000</v>
      </c>
      <c r="P89" s="339">
        <f t="shared" si="30"/>
        <v>51907404</v>
      </c>
      <c r="Q89" s="341"/>
      <c r="R89" s="341"/>
      <c r="S89" s="341"/>
      <c r="T89" s="341"/>
      <c r="U89" s="341"/>
    </row>
    <row r="90" spans="1:21">
      <c r="A90" s="436" t="s">
        <v>862</v>
      </c>
      <c r="B90" s="326">
        <f>B81+'UAT3-Mar'!B109</f>
        <v>53779111</v>
      </c>
      <c r="C90" s="326">
        <f>C81+'UAT3-Mar'!C109</f>
        <v>44762401</v>
      </c>
      <c r="D90" s="326">
        <f>D81+'UAT3-Mar'!D109</f>
        <v>57921738</v>
      </c>
      <c r="E90" s="326">
        <f>E81+'UAT3-Mar'!E109</f>
        <v>123168668</v>
      </c>
      <c r="F90" s="326">
        <f>F81+'UAT3-Mar'!F109</f>
        <v>49600000</v>
      </c>
      <c r="G90" s="326">
        <f>G81+'UAT3-Mar'!G109</f>
        <v>227409000</v>
      </c>
      <c r="H90" s="326">
        <f>H81+'UAT3-Mar'!H109</f>
        <v>372379244</v>
      </c>
      <c r="I90" s="326">
        <f>I81+'UAT3-Mar'!I109</f>
        <v>377879552</v>
      </c>
      <c r="J90" s="326">
        <f>J81+'UAT3-Mar'!J109</f>
        <v>127173914</v>
      </c>
      <c r="K90" s="326">
        <f>K81+'UAT3-Mar'!K109</f>
        <v>41600000</v>
      </c>
      <c r="L90" s="326">
        <f>L81+'UAT3-Mar'!L109</f>
        <v>360000000</v>
      </c>
      <c r="M90" s="326">
        <f>M81+'UAT3-Mar'!M109</f>
        <v>30000000</v>
      </c>
      <c r="N90" s="326">
        <f>N81+'UAT3-Mar'!N109</f>
        <v>36000000</v>
      </c>
      <c r="O90" s="326">
        <f>O81+'UAT3-Mar'!O109</f>
        <v>14000000</v>
      </c>
      <c r="P90" s="339">
        <f t="shared" si="30"/>
        <v>1915673628</v>
      </c>
      <c r="Q90" s="341"/>
      <c r="R90" s="341"/>
      <c r="S90" s="341"/>
      <c r="T90" s="341"/>
      <c r="U90" s="341"/>
    </row>
    <row r="91" spans="1:21">
      <c r="A91" s="436" t="s">
        <v>486</v>
      </c>
      <c r="B91" s="326">
        <f>B89+'UAT3-Mar'!B110</f>
        <v>325093</v>
      </c>
      <c r="C91" s="326">
        <f>C89+'UAT3-Mar'!C110</f>
        <v>0</v>
      </c>
      <c r="D91" s="326">
        <f>D89+'UAT3-Mar'!D110</f>
        <v>678837</v>
      </c>
      <c r="E91" s="326">
        <f>E89+'UAT3-Mar'!E110</f>
        <v>12316868</v>
      </c>
      <c r="F91" s="326">
        <f>F89+'UAT3-Mar'!F110</f>
        <v>4960000</v>
      </c>
      <c r="G91" s="326">
        <f>G89+'UAT3-Mar'!G110</f>
        <v>49180400</v>
      </c>
      <c r="H91" s="326">
        <f>H89+'UAT3-Mar'!H110</f>
        <v>74475849</v>
      </c>
      <c r="I91" s="326">
        <f>I89+'UAT3-Mar'!I110</f>
        <v>75575910</v>
      </c>
      <c r="J91" s="326">
        <f>J89+'UAT3-Mar'!J110</f>
        <v>12251589</v>
      </c>
      <c r="K91" s="326">
        <f>K89+'UAT3-Mar'!K110</f>
        <v>280000</v>
      </c>
      <c r="L91" s="326">
        <f>L89+'UAT3-Mar'!L110</f>
        <v>69627600</v>
      </c>
      <c r="M91" s="326">
        <f>M89+'UAT3-Mar'!M110</f>
        <v>0</v>
      </c>
      <c r="N91" s="326">
        <f>N89+'UAT3-Mar'!N110</f>
        <v>0</v>
      </c>
      <c r="O91" s="326">
        <f>O89+'UAT3-Mar'!O110</f>
        <v>1400000</v>
      </c>
      <c r="P91" s="339">
        <f t="shared" si="30"/>
        <v>301072146</v>
      </c>
      <c r="Q91" s="341"/>
      <c r="R91" s="341"/>
      <c r="S91" s="341"/>
      <c r="T91" s="341"/>
      <c r="U91" s="341"/>
    </row>
    <row r="92" spans="1:21">
      <c r="A92" s="436" t="s">
        <v>487</v>
      </c>
      <c r="B92" s="326">
        <f>B86+'UAT3-Mar'!B111</f>
        <v>3465000</v>
      </c>
      <c r="C92" s="326">
        <f>C86+'UAT3-Mar'!C111</f>
        <v>2872800</v>
      </c>
      <c r="D92" s="326">
        <f>D86+'UAT3-Mar'!D111</f>
        <v>1085000</v>
      </c>
      <c r="E92" s="326">
        <f>E86+'UAT3-Mar'!E111</f>
        <v>3780000</v>
      </c>
      <c r="F92" s="326">
        <f>F86+'UAT3-Mar'!F111</f>
        <v>0</v>
      </c>
      <c r="G92" s="326">
        <f>G86+'UAT3-Mar'!G111</f>
        <v>0</v>
      </c>
      <c r="H92" s="326">
        <f>H86+'UAT3-Mar'!H111</f>
        <v>1668000</v>
      </c>
      <c r="I92" s="326">
        <f>I86+'UAT3-Mar'!I111</f>
        <v>1251000</v>
      </c>
      <c r="J92" s="326">
        <f>J86+'UAT3-Mar'!J111</f>
        <v>9093000</v>
      </c>
      <c r="K92" s="326">
        <f>K86+'UAT3-Mar'!K111</f>
        <v>0</v>
      </c>
      <c r="L92" s="326">
        <f>L86+'UAT3-Mar'!L111</f>
        <v>13908000</v>
      </c>
      <c r="M92" s="326">
        <f>M86+'UAT3-Mar'!M111</f>
        <v>0</v>
      </c>
      <c r="N92" s="326">
        <f>N86+'UAT3-Mar'!N111</f>
        <v>0</v>
      </c>
      <c r="O92" s="326">
        <f>O86+'UAT3-Mar'!O111</f>
        <v>0</v>
      </c>
      <c r="P92" s="339">
        <f t="shared" si="30"/>
        <v>37122800</v>
      </c>
      <c r="Q92" s="341"/>
      <c r="R92" s="341"/>
      <c r="S92" s="341"/>
      <c r="T92" s="341"/>
      <c r="U92" s="341"/>
    </row>
    <row r="93" spans="1:21">
      <c r="A93" s="405"/>
      <c r="B93" s="14"/>
      <c r="C93" s="7"/>
      <c r="D93" s="7"/>
      <c r="E93" s="316"/>
      <c r="F93" s="7"/>
      <c r="G93" s="7"/>
      <c r="H93" s="7"/>
      <c r="I93" s="7"/>
      <c r="J93" s="7"/>
      <c r="K93" s="316"/>
      <c r="L93" s="316"/>
      <c r="M93" s="316"/>
      <c r="N93" s="316"/>
      <c r="O93" s="375"/>
      <c r="P93" s="339">
        <f t="shared" si="30"/>
        <v>0</v>
      </c>
    </row>
    <row r="94" spans="1:21" ht="15.6">
      <c r="A94" s="404" t="s">
        <v>775</v>
      </c>
      <c r="B94" s="14"/>
      <c r="C94" s="7"/>
      <c r="D94" s="7"/>
      <c r="E94" s="316"/>
      <c r="F94" s="7"/>
      <c r="G94" s="7"/>
      <c r="H94" s="7"/>
      <c r="I94" s="7"/>
      <c r="J94" s="7"/>
      <c r="K94" s="316"/>
      <c r="L94" s="316"/>
      <c r="M94" s="316"/>
      <c r="N94" s="316"/>
      <c r="O94" s="375"/>
      <c r="P94" s="339">
        <f t="shared" si="30"/>
        <v>0</v>
      </c>
    </row>
    <row r="95" spans="1:21">
      <c r="A95" s="436" t="s">
        <v>431</v>
      </c>
      <c r="B95" s="531">
        <f>'UAT3-Mar'!B114</f>
        <v>160</v>
      </c>
      <c r="C95" s="531">
        <f>'UAT3-Mar'!C114</f>
        <v>144</v>
      </c>
      <c r="D95" s="531">
        <f>'UAT3-Mar'!D114</f>
        <v>156.93</v>
      </c>
      <c r="E95" s="531">
        <f>'UAT3-Mar'!E114</f>
        <v>160</v>
      </c>
      <c r="F95" s="531">
        <f>'UAT3-Mar'!F114</f>
        <v>128</v>
      </c>
      <c r="G95" s="531">
        <f>'UAT3-Mar'!G114</f>
        <v>0</v>
      </c>
      <c r="H95" s="531">
        <f>'UAT3-Mar'!H114</f>
        <v>80</v>
      </c>
      <c r="I95" s="531">
        <f>'UAT3-Mar'!I114</f>
        <v>0</v>
      </c>
      <c r="J95" s="531">
        <f>'UAT3-Mar'!J114</f>
        <v>88.64</v>
      </c>
      <c r="K95" s="531">
        <f>'UAT3-Mar'!K114</f>
        <v>160</v>
      </c>
      <c r="L95" s="531">
        <f>'UAT3-Mar'!L114</f>
        <v>160</v>
      </c>
      <c r="M95" s="531">
        <f>'UAT3-Mar'!M114</f>
        <v>160</v>
      </c>
      <c r="N95" s="531">
        <f>'UAT3-Mar'!N114</f>
        <v>160</v>
      </c>
      <c r="O95" s="532">
        <f>'UAT3-Mar'!O114</f>
        <v>0</v>
      </c>
      <c r="P95" s="339">
        <f t="shared" si="30"/>
        <v>1557.5700000000002</v>
      </c>
    </row>
    <row r="96" spans="1:21">
      <c r="A96" s="436" t="s">
        <v>432</v>
      </c>
      <c r="B96" s="531">
        <f>'UAT3-Mar'!B115</f>
        <v>80</v>
      </c>
      <c r="C96" s="531">
        <f>'UAT3-Mar'!C115</f>
        <v>72</v>
      </c>
      <c r="D96" s="531">
        <f>'UAT3-Mar'!D115</f>
        <v>78.47</v>
      </c>
      <c r="E96" s="531">
        <f>'UAT3-Mar'!E115</f>
        <v>80</v>
      </c>
      <c r="F96" s="531">
        <f>'UAT3-Mar'!F115</f>
        <v>64</v>
      </c>
      <c r="G96" s="531">
        <f>'UAT3-Mar'!G115</f>
        <v>0</v>
      </c>
      <c r="H96" s="531">
        <f>'UAT3-Mar'!H115</f>
        <v>40</v>
      </c>
      <c r="I96" s="531">
        <f>'UAT3-Mar'!I115</f>
        <v>0</v>
      </c>
      <c r="J96" s="531">
        <f>'UAT3-Mar'!J115</f>
        <v>44.32</v>
      </c>
      <c r="K96" s="531">
        <f>'UAT3-Mar'!K115</f>
        <v>80</v>
      </c>
      <c r="L96" s="531">
        <f>'UAT3-Mar'!L115</f>
        <v>80</v>
      </c>
      <c r="M96" s="531">
        <f>'UAT3-Mar'!M115</f>
        <v>80</v>
      </c>
      <c r="N96" s="531">
        <f>'UAT3-Mar'!N115</f>
        <v>80</v>
      </c>
      <c r="O96" s="532">
        <f>'UAT3-Mar'!O115</f>
        <v>0</v>
      </c>
      <c r="P96" s="339">
        <f t="shared" si="30"/>
        <v>778.79</v>
      </c>
    </row>
    <row r="97" spans="1:16">
      <c r="A97" s="436" t="s">
        <v>433</v>
      </c>
      <c r="B97" s="531">
        <f>'UAT3-Mar'!B116</f>
        <v>0</v>
      </c>
      <c r="C97" s="531">
        <f>'UAT3-Mar'!C116</f>
        <v>0</v>
      </c>
      <c r="D97" s="531">
        <f>'UAT3-Mar'!D116</f>
        <v>0</v>
      </c>
      <c r="E97" s="531">
        <f>'UAT3-Mar'!E116</f>
        <v>0</v>
      </c>
      <c r="F97" s="531">
        <f>'UAT3-Mar'!F116</f>
        <v>0</v>
      </c>
      <c r="G97" s="531">
        <f>'UAT3-Mar'!G116</f>
        <v>0</v>
      </c>
      <c r="H97" s="531">
        <f>'UAT3-Mar'!H116</f>
        <v>0</v>
      </c>
      <c r="I97" s="531">
        <f>'UAT3-Mar'!I116</f>
        <v>0</v>
      </c>
      <c r="J97" s="531">
        <f>'UAT3-Mar'!J116</f>
        <v>0</v>
      </c>
      <c r="K97" s="531">
        <f>'UAT3-Mar'!K116</f>
        <v>0</v>
      </c>
      <c r="L97" s="531">
        <f>'UAT3-Mar'!L116</f>
        <v>0</v>
      </c>
      <c r="M97" s="531">
        <f>'UAT3-Mar'!M116</f>
        <v>0</v>
      </c>
      <c r="N97" s="531">
        <f>'UAT3-Mar'!N116</f>
        <v>0</v>
      </c>
      <c r="O97" s="532">
        <f>'UAT3-Mar'!O116</f>
        <v>0</v>
      </c>
      <c r="P97" s="339">
        <f t="shared" si="30"/>
        <v>0</v>
      </c>
    </row>
    <row r="98" spans="1:16">
      <c r="A98" s="436" t="s">
        <v>434</v>
      </c>
      <c r="B98" s="531">
        <f>'UAT3-Mar'!B117</f>
        <v>0</v>
      </c>
      <c r="C98" s="531">
        <f>'UAT3-Mar'!C117</f>
        <v>0</v>
      </c>
      <c r="D98" s="531">
        <f>'UAT3-Mar'!D117</f>
        <v>0</v>
      </c>
      <c r="E98" s="531">
        <f>'UAT3-Mar'!E117</f>
        <v>0</v>
      </c>
      <c r="F98" s="531">
        <f>'UAT3-Mar'!F117</f>
        <v>0</v>
      </c>
      <c r="G98" s="531">
        <f>'UAT3-Mar'!G117</f>
        <v>0</v>
      </c>
      <c r="H98" s="531">
        <f>'UAT3-Mar'!H117</f>
        <v>0</v>
      </c>
      <c r="I98" s="531">
        <f>'UAT3-Mar'!I117</f>
        <v>0</v>
      </c>
      <c r="J98" s="531">
        <f>'UAT3-Mar'!J117</f>
        <v>0</v>
      </c>
      <c r="K98" s="531">
        <f>'UAT3-Mar'!K117</f>
        <v>0</v>
      </c>
      <c r="L98" s="531">
        <f>'UAT3-Mar'!L117</f>
        <v>0</v>
      </c>
      <c r="M98" s="531">
        <f>'UAT3-Mar'!M117</f>
        <v>0</v>
      </c>
      <c r="N98" s="531">
        <f>'UAT3-Mar'!N117</f>
        <v>0</v>
      </c>
      <c r="O98" s="532">
        <f>'UAT3-Mar'!O117</f>
        <v>0</v>
      </c>
      <c r="P98" s="339">
        <f t="shared" si="30"/>
        <v>0</v>
      </c>
    </row>
    <row r="99" spans="1:16">
      <c r="A99" s="436" t="s">
        <v>435</v>
      </c>
      <c r="B99" s="531">
        <f>'UAT3-Mar'!B118</f>
        <v>0</v>
      </c>
      <c r="C99" s="531">
        <f>'UAT3-Mar'!C118</f>
        <v>0</v>
      </c>
      <c r="D99" s="531">
        <f>'UAT3-Mar'!D118</f>
        <v>0</v>
      </c>
      <c r="E99" s="531">
        <f>'UAT3-Mar'!E118</f>
        <v>0</v>
      </c>
      <c r="F99" s="531">
        <f>'UAT3-Mar'!F118</f>
        <v>0</v>
      </c>
      <c r="G99" s="531">
        <f>'UAT3-Mar'!G118</f>
        <v>0</v>
      </c>
      <c r="H99" s="531">
        <f>'UAT3-Mar'!H118</f>
        <v>0</v>
      </c>
      <c r="I99" s="531">
        <f>'UAT3-Mar'!I118</f>
        <v>0</v>
      </c>
      <c r="J99" s="531">
        <f>'UAT3-Mar'!J118</f>
        <v>0</v>
      </c>
      <c r="K99" s="531">
        <f>'UAT3-Mar'!K118</f>
        <v>0</v>
      </c>
      <c r="L99" s="531">
        <f>'UAT3-Mar'!L118</f>
        <v>0</v>
      </c>
      <c r="M99" s="531">
        <f>'UAT3-Mar'!M118</f>
        <v>0</v>
      </c>
      <c r="N99" s="531">
        <f>'UAT3-Mar'!N118</f>
        <v>0</v>
      </c>
      <c r="O99" s="532">
        <f>'UAT3-Mar'!O118</f>
        <v>0</v>
      </c>
      <c r="P99" s="339">
        <f t="shared" si="30"/>
        <v>0</v>
      </c>
    </row>
    <row r="100" spans="1:16">
      <c r="A100" s="436"/>
      <c r="F100" s="5"/>
      <c r="G100" s="5"/>
      <c r="H100" s="5"/>
      <c r="I100" s="5"/>
      <c r="P100" s="339">
        <f t="shared" si="30"/>
        <v>0</v>
      </c>
    </row>
    <row r="101" spans="1:16" ht="15.6">
      <c r="A101" s="404" t="s">
        <v>436</v>
      </c>
      <c r="P101" s="339">
        <f t="shared" si="30"/>
        <v>0</v>
      </c>
    </row>
    <row r="102" spans="1:16">
      <c r="A102" s="6" t="s">
        <v>809</v>
      </c>
      <c r="B102" s="528">
        <f>IF(OR(B11="S",B11="C"),0,IF(OR(B11="1",B11="3"),ROUND(20*8*B16/365,5),ROUND(20*'New Hire'!C24*B16/365,5)))+'UAT3-Mar'!B121</f>
        <v>52.602730000000001</v>
      </c>
      <c r="C102" s="528">
        <f>IF(OR(C11="S",C11="C"),0,IF(OR(C11="1",C11="3"),ROUND(20*8*C16/365,5),ROUND(20*'New Hire'!D24*C16/365,5)))+'UAT3-Mar'!C121</f>
        <v>47.342480000000002</v>
      </c>
      <c r="D102" s="528">
        <f>IF(OR(D11="S",D11="C"),0,IF(OR(D11="1",D11="3"),ROUND(20*8*D16/365,5),ROUND(20*'New Hire'!E24*D16/365,5)))+'UAT3-Mar'!D121</f>
        <v>49.534240000000004</v>
      </c>
      <c r="E102" s="528">
        <f>IF(OR(E11="S",E11="C"),0,IF(OR(E11="1",E11="3"),ROUND(20*8*E16/365,5),ROUND(20*'New Hire'!F24*E16/365,5)))+'UAT3-Mar'!E121</f>
        <v>52.602730000000001</v>
      </c>
      <c r="F102" s="528">
        <f>IF(OR(F11="S",F11="C"),0,IF(OR(F11="1",F11="3"),ROUND(20*8*F16/365,5),ROUND(20*'New Hire'!G24*F16/365,5)))+'UAT3-Mar'!F121</f>
        <v>42.082189999999997</v>
      </c>
      <c r="G102" s="528">
        <f>IF(OR(G11="S",G11="C"),0,IF(OR(G11="1",G11="3"),ROUND(20*8*G16/365,5),ROUND(20*'New Hire'!H24*G16/365,5)))+'UAT3-Mar'!G121</f>
        <v>0</v>
      </c>
      <c r="H102" s="528">
        <f>IF(OR(H11="S",H11="C"),0,IF(OR(H11="1",H11="3"),ROUND(20*8*H16/365,5),ROUND(20*'New Hire'!I24*H16/365,5)))+'UAT3-Mar'!H121</f>
        <v>26.301370000000002</v>
      </c>
      <c r="I102" s="528">
        <f>IF(OR(I11="S",I11="C"),0,IF(OR(I11="1",I11="3"),ROUND(20*8*I16/365,5),ROUND(20*'New Hire'!J24*I16/365,5)))+'UAT3-Mar'!I121</f>
        <v>0</v>
      </c>
      <c r="J102" s="528">
        <f>IF(OR(J11="S",J11="C"),0,IF(OR(J11="1",J11="3"),ROUND(20*8*J16/365,5),ROUND(20*'New Hire'!K24*J16/365,5)))+'UAT3-Mar'!J121</f>
        <v>24.19725</v>
      </c>
      <c r="K102" s="528">
        <f>IF(OR(K11="S",K11="C"),0,IF(OR(K11="1",K11="3"),ROUND(20*8*K16/365,5),ROUND(20*'New Hire'!L24*K16/365,5)))+'UAT3-Mar'!K121</f>
        <v>52.602730000000001</v>
      </c>
      <c r="L102" s="528">
        <f>IF(OR(L11="S",L11="C"),0,IF(OR(L11="1",L11="3"),ROUND(20*8*L16/365,5),ROUND(20*'New Hire'!M24*L16/365,5)))+'UAT3-Mar'!L121</f>
        <v>52.602730000000001</v>
      </c>
      <c r="M102" s="528">
        <f>IF(OR(M11="S",M11="C"),0,IF(OR(M11="1",M11="3"),ROUND(20*8*M16/365,5),ROUND(20*'New Hire'!N24*M16/365,5)))+'UAT3-Mar'!M121</f>
        <v>52.602730000000001</v>
      </c>
      <c r="N102" s="528">
        <f>IF(OR(N11="S",N11="C"),0,IF(OR(N11="1",N11="3"),ROUND(20*8*N16/365,5),ROUND(20*'New Hire'!O24*N16/365,5)))+'UAT3-Mar'!N121</f>
        <v>52.602730000000001</v>
      </c>
      <c r="O102" s="528">
        <f>IF(OR(O11="S",O11="C"),0,IF(OR(O11="1",O11="3"),ROUND(20*8*O16/365,5),ROUND(20*'New Hire'!P24*O16/365,5)))+'UAT3-Mar'!O121</f>
        <v>0</v>
      </c>
      <c r="P102" s="339">
        <f t="shared" si="30"/>
        <v>505.07391000000007</v>
      </c>
    </row>
    <row r="103" spans="1:16">
      <c r="A103" s="6" t="s">
        <v>810</v>
      </c>
      <c r="B103" s="529">
        <f>IF(OR(B11="S",B11="C"),0,IF(OR(B11="1",B11="3"),ROUND(10*8*B16/365,5),ROUND(10*'New Hire'!C24*B16/365,5)))+'UAT3-Mar'!B122</f>
        <v>26.301370000000002</v>
      </c>
      <c r="C103" s="529">
        <f>IF(OR(C11="S",C11="C"),0,IF(OR(C11="1",C11="3"),ROUND(10*8*C16/365,5),ROUND(10*'New Hire'!D24*C16/365,5)))+'UAT3-Mar'!C122</f>
        <v>23.671240000000001</v>
      </c>
      <c r="D103" s="529">
        <f>IF(OR(D11="S",D11="C"),0,IF(OR(D11="1",D11="3"),ROUND(10*8*D16/365,5),ROUND(10*'New Hire'!E24*D16/365,5)))+'UAT3-Mar'!D122</f>
        <v>24.767120000000002</v>
      </c>
      <c r="E103" s="529">
        <f>IF(OR(E11="S",E11="C"),0,IF(OR(E11="1",E11="3"),ROUND(10*8*E16/365,5),ROUND(10*'New Hire'!F24*E16/365,5)))+'UAT3-Mar'!E122</f>
        <v>26.301370000000002</v>
      </c>
      <c r="F103" s="529">
        <f>IF(OR(F11="S",F11="C"),0,IF(OR(F11="1",F11="3"),ROUND(10*8*F16/365,5),ROUND(10*'New Hire'!G24*F16/365,5)))+'UAT3-Mar'!F122</f>
        <v>21.0411</v>
      </c>
      <c r="G103" s="529">
        <f>IF(OR(G11="S",G11="C"),0,IF(OR(G11="1",G11="3"),ROUND(10*8*G16/365,5),ROUND(10*'New Hire'!H24*G16/365,5)))+'UAT3-Mar'!G122</f>
        <v>0</v>
      </c>
      <c r="H103" s="529">
        <f>IF(OR(H11="S",H11="C"),0,IF(OR(H11="1",H11="3"),ROUND(10*8*H16/365,5),ROUND(10*'New Hire'!I24*H16/365,5)))+'UAT3-Mar'!H122</f>
        <v>13.150679999999999</v>
      </c>
      <c r="I103" s="529">
        <f>IF(OR(I11="S",I11="C"),0,IF(OR(I11="1",I11="3"),ROUND(10*8*I16/365,5),ROUND(10*'New Hire'!J24*I16/365,5)))+'UAT3-Mar'!I122</f>
        <v>0</v>
      </c>
      <c r="J103" s="529">
        <f>IF(OR(J11="S",J11="C"),0,IF(OR(J11="1",J11="3"),ROUND(10*8*J16/365,5),ROUND(10*'New Hire'!K24*J16/365,5)))+'UAT3-Mar'!J122</f>
        <v>12.09863</v>
      </c>
      <c r="K103" s="529">
        <f>IF(OR(K11="S",K11="C"),0,IF(OR(K11="1",K11="3"),ROUND(10*8*K16/365,5),ROUND(10*'New Hire'!L24*K16/365,5)))+'UAT3-Mar'!K122</f>
        <v>26.301370000000002</v>
      </c>
      <c r="L103" s="529">
        <f>IF(OR(L11="S",L11="C"),0,IF(OR(L11="1",L11="3"),ROUND(10*8*L16/365,5),ROUND(10*'New Hire'!M24*L16/365,5)))+'UAT3-Mar'!L122</f>
        <v>26.301370000000002</v>
      </c>
      <c r="M103" s="529">
        <f>IF(OR(M11="S",M11="C"),0,IF(OR(M11="1",M11="3"),ROUND(10*8*M16/365,5),ROUND(10*'New Hire'!N24*M16/365,5)))+'UAT3-Mar'!M122</f>
        <v>26.301370000000002</v>
      </c>
      <c r="N103" s="529">
        <f>IF(OR(N11="S",N11="C"),0,IF(OR(N11="1",N11="3"),ROUND(10*8*N16/365,5),ROUND(10*'New Hire'!O24*N16/365,5)))+'UAT3-Mar'!N122</f>
        <v>26.301370000000002</v>
      </c>
      <c r="O103" s="529">
        <f>IF(OR(O11="S",O11="C"),0,IF(OR(O11="1",O11="3"),ROUND(10*8*O16/365,5),ROUND(10*'New Hire'!P24*O16/365,5)))+'UAT3-Mar'!O122</f>
        <v>0</v>
      </c>
      <c r="P103" s="339">
        <f t="shared" si="30"/>
        <v>252.53699</v>
      </c>
    </row>
    <row r="104" spans="1:16">
      <c r="A104" s="436" t="s">
        <v>779</v>
      </c>
      <c r="B104" s="528">
        <f>IF('New Hire'!C78=1,ROUND(25/10*B13%/365,5)*B16,0)+'UAT3-Mar'!B123</f>
        <v>0</v>
      </c>
      <c r="C104" s="528">
        <f>IF('New Hire'!D78=1,ROUND(25/10*C13%/365,5)*C16,0)+'UAT3-Mar'!C123</f>
        <v>0.36709999999999998</v>
      </c>
      <c r="D104" s="528">
        <f>IF('New Hire'!E78=1,ROUND(25/10*D13%/365,5)*D16,0)+'UAT3-Mar'!D123</f>
        <v>0</v>
      </c>
      <c r="E104" s="528">
        <f>IF('New Hire'!F78=1,ROUND(25/10*E13%/365,5)*E16,0)+'UAT3-Mar'!E123</f>
        <v>0</v>
      </c>
      <c r="F104" s="528">
        <f>IF('New Hire'!G78=1,ROUND(25/10*F13%/365,5)*F16,0)+'UAT3-Mar'!F123</f>
        <v>0.32636999999999994</v>
      </c>
      <c r="G104" s="528">
        <f>IF('New Hire'!H78=1,ROUND(25/10*G13%/365,5)*G16,0)+'UAT3-Mar'!G123</f>
        <v>0</v>
      </c>
      <c r="H104" s="528">
        <f>IF('New Hire'!I78=1,ROUND(25/10*H13%/365,5)*H16,0)+'UAT3-Mar'!H123</f>
        <v>0</v>
      </c>
      <c r="I104" s="528">
        <f>IF('New Hire'!J78=1,ROUND(25/10*I13%/365,5)*I16,0)+'UAT3-Mar'!I123</f>
        <v>0</v>
      </c>
      <c r="J104" s="528">
        <f>IF('New Hire'!K78=1,ROUND(25/10*J13%/365,5)*J16,0)+'UAT3-Mar'!J123</f>
        <v>0</v>
      </c>
      <c r="K104" s="528">
        <f>IF('New Hire'!L78=1,ROUND(25/10*K13%/365,5)*K16,0)+'UAT3-Mar'!K123</f>
        <v>0</v>
      </c>
      <c r="L104" s="528">
        <f>IF('New Hire'!M78=1,ROUND(25/10*L13%/365,5)*L16,0)+'UAT3-Mar'!L123</f>
        <v>0</v>
      </c>
      <c r="M104" s="528">
        <f>IF('New Hire'!N78=1,ROUND(25/10*M13%/365,5)*M16,0)+'UAT3-Mar'!M123</f>
        <v>0</v>
      </c>
      <c r="N104" s="528">
        <f>IF('New Hire'!O78=1,ROUND(25/10*N13%/365,5)*N16,0)+'UAT3-Mar'!N123</f>
        <v>0</v>
      </c>
      <c r="O104" s="528">
        <f>IF('New Hire'!P78=1,ROUND(25/10*O13%/365,5)*O16,0)+'UAT3-Mar'!O123</f>
        <v>0</v>
      </c>
      <c r="P104" s="339">
        <f t="shared" si="30"/>
        <v>0.69346999999999992</v>
      </c>
    </row>
    <row r="105" spans="1:16">
      <c r="A105" s="436" t="s">
        <v>780</v>
      </c>
      <c r="B105" s="529">
        <f>IF(B11="C",0,IF('New Hire'!C78=1,0,ROUND(5/5*B13%/365,5)*B16)+'UAT3-Mar'!B124)</f>
        <v>0.16348999999999997</v>
      </c>
      <c r="C105" s="529">
        <f>IF(C11="C",0,IF('New Hire'!D78=1,0,ROUND(5/5*C13%/365,5)*C16)+'UAT3-Mar'!C124)</f>
        <v>0</v>
      </c>
      <c r="D105" s="529">
        <f>IF(D11="C",0,IF('New Hire'!E78=1,0,ROUND(5/5*D13%/365,5)*D16)+'UAT3-Mar'!D124)</f>
        <v>0.14430999999999999</v>
      </c>
      <c r="E105" s="529">
        <f>IF(E11="C",0,IF('New Hire'!F78=1,0,ROUND(5/5*E13%/365,5)*E16)+'UAT3-Mar'!E124)</f>
        <v>0.16348999999999997</v>
      </c>
      <c r="F105" s="529">
        <f>IF(F11="C",0,IF('New Hire'!G78=1,0,ROUND(5/5*F13%/365,5)*F16)+'UAT3-Mar'!F124)</f>
        <v>0</v>
      </c>
      <c r="G105" s="529">
        <f>IF(G11="C",0,IF('New Hire'!H78=1,0,ROUND(5/5*G13%/365,5)*G16)+'UAT3-Mar'!G124)</f>
        <v>0</v>
      </c>
      <c r="H105" s="529">
        <f>IF(H11="C",0,IF('New Hire'!I78=1,0,ROUND(5/5*H13%/365,5)*H16)+'UAT3-Mar'!H124)</f>
        <v>8.1439999999999985E-2</v>
      </c>
      <c r="I105" s="529">
        <f>IF(I11="C",0,IF('New Hire'!J78=1,0,ROUND(5/5*I13%/365,5)*I16)+'UAT3-Mar'!I124)</f>
        <v>8.7320000000000009E-2</v>
      </c>
      <c r="J105" s="529">
        <f>IF(J11="C",0,IF('New Hire'!K78=1,0,ROUND(5/5*J13%/365,5)*J16)+'UAT3-Mar'!J124)</f>
        <v>5.2060000000000009E-2</v>
      </c>
      <c r="K105" s="529">
        <f>IF(K11="C",0,IF('New Hire'!L78=1,0,ROUND(5/5*K13%/365,5)*K16)+'UAT3-Mar'!K124)</f>
        <v>0.16348999999999997</v>
      </c>
      <c r="L105" s="529">
        <f>IF(L11="C",0,IF('New Hire'!M78=1,0,ROUND(5/5*L13%/365,5)*L16)+'UAT3-Mar'!L124)</f>
        <v>0.16348999999999997</v>
      </c>
      <c r="M105" s="529">
        <f>IF(M11="C",0,IF('New Hire'!N78=1,0,ROUND(5/5*M13%/365,5)*M16)+'UAT3-Mar'!M124)</f>
        <v>0.16348999999999997</v>
      </c>
      <c r="N105" s="529">
        <f>IF(N11="C",0,IF('New Hire'!O78=1,0,ROUND(5/5*N13%/365,5)*N16)+'UAT3-Mar'!N124)</f>
        <v>0.16348999999999997</v>
      </c>
      <c r="O105" s="529">
        <f>IF(O11="C",0,IF('New Hire'!P78=1,0,ROUND(5/5*O13%/365,5)*O16)+'UAT3-Mar'!O124)</f>
        <v>0</v>
      </c>
      <c r="P105" s="339">
        <f t="shared" si="30"/>
        <v>1.3460699999999997</v>
      </c>
    </row>
    <row r="106" spans="1:16">
      <c r="A106" s="436"/>
      <c r="B106" s="526"/>
      <c r="C106" s="526"/>
      <c r="D106" s="526"/>
      <c r="E106" s="526"/>
      <c r="F106" s="526"/>
      <c r="G106" s="526"/>
      <c r="H106" s="526"/>
      <c r="I106" s="526"/>
      <c r="J106" s="526"/>
      <c r="K106" s="526"/>
      <c r="L106" s="526"/>
      <c r="M106" s="526"/>
      <c r="N106" s="526"/>
      <c r="O106" s="526"/>
      <c r="P106" s="339">
        <f t="shared" si="30"/>
        <v>0</v>
      </c>
    </row>
    <row r="107" spans="1:16" ht="15.6">
      <c r="A107" s="404" t="s">
        <v>622</v>
      </c>
      <c r="P107" s="339">
        <f t="shared" si="30"/>
        <v>0</v>
      </c>
    </row>
    <row r="108" spans="1:16">
      <c r="A108" s="436" t="s">
        <v>477</v>
      </c>
      <c r="B108" s="443">
        <f>IF(OR(B18="A",B18="B"),'New Hire'!C32,ROUND('New Hire'!C32*$B$4,0))</f>
        <v>5000000</v>
      </c>
      <c r="C108" s="443">
        <f>IF(OR(C18="A",C18="B"),'New Hire'!D32,ROUND('New Hire'!D32*$B$4,0))</f>
        <v>4500000</v>
      </c>
      <c r="D108" s="443">
        <f>IF(OR(D18="A",D18="B"),'New Hire'!E32,ROUND('New Hire'!E32*$B$4,0))</f>
        <v>7000000</v>
      </c>
      <c r="E108" s="443">
        <f>IF(OR(E18="A",E18="B"),'New Hire'!F32,ROUND('New Hire'!F32*$B$4,0))</f>
        <v>9000000</v>
      </c>
      <c r="F108" s="443">
        <f>IF(OR(F18="A",F18="B"),'New Hire'!G32,ROUND('New Hire'!G32*$B$4,0))</f>
        <v>14000000</v>
      </c>
      <c r="G108" s="443"/>
      <c r="H108" s="443">
        <f>IF(OR(H18="A",H18="B"),'New Hire'!I32,ROUND('New Hire'!I32*$B$4,0))</f>
        <v>116025000</v>
      </c>
      <c r="I108" s="443">
        <f>IF(OR(I18="A",I18="B"),'New Hire'!J32,ROUND('New Hire'!J32*$B$4,0))</f>
        <v>92820000</v>
      </c>
      <c r="J108" s="443">
        <f>IF(OR(J18="A",J18="B"),'New Hire'!K32,ROUND('New Hire'!K32*$B$4,0))</f>
        <v>50000000</v>
      </c>
      <c r="K108" s="443">
        <f>IF(OR(K18="A",K18="B"),'New Hire'!L32,ROUND('New Hire'!L32*$B$4,0))</f>
        <v>8000000</v>
      </c>
      <c r="L108" s="443">
        <f>IF(OR(L18="A",L18="B"),'New Hire'!M32,ROUND('New Hire'!M32*$B$4,0))</f>
        <v>90000000</v>
      </c>
      <c r="M108" s="443">
        <f>IF(OR(M18="A",M18="B"),'New Hire'!N32,ROUND('New Hire'!N32*$B$4,0))</f>
        <v>5000000</v>
      </c>
      <c r="N108" s="443">
        <f>IF(OR(N18="A",N18="B"),'New Hire'!O32,ROUND('New Hire'!O32*$B$4,0))</f>
        <v>6500000</v>
      </c>
      <c r="O108" s="443"/>
      <c r="P108" s="339">
        <f t="shared" si="30"/>
        <v>407845000</v>
      </c>
    </row>
    <row r="109" spans="1:16">
      <c r="A109" s="436" t="s">
        <v>750</v>
      </c>
      <c r="B109" s="443"/>
      <c r="C109" s="443"/>
      <c r="D109" s="443"/>
      <c r="E109" s="443"/>
      <c r="F109" s="443"/>
      <c r="G109" s="443">
        <f>'New Hire'!H32*B4</f>
        <v>4641000</v>
      </c>
      <c r="H109" s="443"/>
      <c r="I109" s="443"/>
      <c r="J109" s="443"/>
      <c r="K109" s="443"/>
      <c r="L109" s="443"/>
      <c r="M109" s="443"/>
      <c r="N109" s="443"/>
      <c r="O109" s="443">
        <f>'New Hire'!P32</f>
        <v>800000</v>
      </c>
      <c r="P109" s="339">
        <f t="shared" si="30"/>
        <v>5441000</v>
      </c>
    </row>
    <row r="110" spans="1:16">
      <c r="A110" s="442" t="s">
        <v>494</v>
      </c>
      <c r="B110" s="443">
        <f>IF(OR(B18="A",B18="B"),'New Hire'!C34,ROUND('New Hire'!C34*$B$4,0))</f>
        <v>500000</v>
      </c>
      <c r="C110" s="443">
        <f>IF(OR(C18="A",C18="B"),'New Hire'!D34,ROUND('New Hire'!D34*$B$4,0))</f>
        <v>450000</v>
      </c>
      <c r="D110" s="443">
        <f>IF(OR(D18="A",D18="B"),'New Hire'!E34,ROUND('New Hire'!E34*$B$4,0))</f>
        <v>700000</v>
      </c>
      <c r="E110" s="443">
        <f>IF(OR(E18="A",E18="B"),'New Hire'!F34,ROUND('New Hire'!F34*$B$4,0))</f>
        <v>0</v>
      </c>
      <c r="F110" s="443">
        <f>IF(OR(F18="A",F18="B"),'New Hire'!G34,ROUND('New Hire'!G34*$B$4,0))</f>
        <v>0</v>
      </c>
      <c r="G110" s="443">
        <f>IF(OR(G18="A",G18="B"),'New Hire'!H34,ROUND('New Hire'!H34*$B$4,0))</f>
        <v>0</v>
      </c>
      <c r="H110" s="443">
        <f>IF(OR(H18="A",H18="B"),'New Hire'!I34,ROUND('New Hire'!I34*$B$4,0))</f>
        <v>11602500</v>
      </c>
      <c r="I110" s="443">
        <f>IF(OR(I18="A",I18="B"),'New Hire'!J34,ROUND('New Hire'!J34*$B$4,0))</f>
        <v>0</v>
      </c>
      <c r="J110" s="443">
        <f>IF(OR(J18="A",J18="B"),'New Hire'!K34,ROUND('New Hire'!K34*$B$4,0))</f>
        <v>5000000</v>
      </c>
      <c r="K110" s="443">
        <f>IF(OR(K18="A",K18="B"),'New Hire'!L34,ROUND('New Hire'!L34*$B$4,0))</f>
        <v>800000</v>
      </c>
      <c r="L110" s="443">
        <f>IF(OR(L18="A",L18="B"),'New Hire'!M34,ROUND('New Hire'!M34*$B$4,0))</f>
        <v>0</v>
      </c>
      <c r="M110" s="443">
        <f>IF(OR(M18="A",M18="B"),'New Hire'!N34,ROUND('New Hire'!N34*$B$4,0))</f>
        <v>1000000</v>
      </c>
      <c r="N110" s="443">
        <f>IF(OR(N18="A",N18="B"),'New Hire'!O34,ROUND('New Hire'!O34*$B$4,0))</f>
        <v>1000000</v>
      </c>
      <c r="O110" s="443">
        <f>IF(OR(O18="A",O18="B"),'New Hire'!P34,ROUND('New Hire'!P34*$B$4,0))</f>
        <v>0</v>
      </c>
      <c r="P110" s="339">
        <f t="shared" si="30"/>
        <v>21052500</v>
      </c>
    </row>
    <row r="111" spans="1:16">
      <c r="A111" s="408" t="s">
        <v>566</v>
      </c>
      <c r="B111" s="443">
        <f>IF(OR(B18="A",B18="B"),'New Hire'!C36,ROUND('New Hire'!C36*$B$4,0))</f>
        <v>1000000</v>
      </c>
      <c r="C111" s="443">
        <f>IF(OR(C18="A",C18="B"),'New Hire'!D36,ROUND('New Hire'!D36*$B$4,0))</f>
        <v>900000</v>
      </c>
      <c r="D111" s="443">
        <f>IF(OR(D18="A",D18="B"),'New Hire'!E36,ROUND('New Hire'!E36*$B$4,0))</f>
        <v>1400000</v>
      </c>
      <c r="E111" s="443">
        <f>IF(OR(E18="A",E18="B"),'New Hire'!F36,ROUND('New Hire'!F36*$B$4,0))</f>
        <v>0</v>
      </c>
      <c r="F111" s="443">
        <f>IF(OR(F18="A",F18="B"),'New Hire'!G36,ROUND('New Hire'!G36*$B$4,0))</f>
        <v>0</v>
      </c>
      <c r="G111" s="443">
        <f>IF(OR(G18="A",G18="B"),'New Hire'!H36,ROUND('New Hire'!H36*$B$4,0))</f>
        <v>0</v>
      </c>
      <c r="H111" s="443">
        <f>IF(OR(H18="A",H18="B"),'New Hire'!I36,ROUND('New Hire'!I36*$B$4,0))</f>
        <v>23205000</v>
      </c>
      <c r="I111" s="443">
        <f>IF(OR(I18="A",I18="B"),'New Hire'!J36,ROUND('New Hire'!J36*$B$4,0))</f>
        <v>0</v>
      </c>
      <c r="J111" s="443">
        <f>IF(OR(J18="A",J18="B"),'New Hire'!K36,ROUND('New Hire'!K36*$B$4,0))</f>
        <v>10000000</v>
      </c>
      <c r="K111" s="443">
        <f>IF(OR(K18="A",K18="B"),'New Hire'!L36,ROUND('New Hire'!L36*$B$4,0))</f>
        <v>1600000</v>
      </c>
      <c r="L111" s="443">
        <f>IF(OR(L18="A",L18="B"),'New Hire'!M36,ROUND('New Hire'!M36*$B$4,0))</f>
        <v>0</v>
      </c>
      <c r="M111" s="443">
        <f>IF(OR(M18="A",M18="B"),'New Hire'!N36,ROUND('New Hire'!N36*$B$4,0))</f>
        <v>1500000</v>
      </c>
      <c r="N111" s="443">
        <f>IF(OR(N18="A",N18="B"),'New Hire'!O36,ROUND('New Hire'!O36*$B$4,0))</f>
        <v>1500000</v>
      </c>
      <c r="O111" s="443">
        <f>IF(OR(O18="A",O18="B"),'New Hire'!P36,ROUND('New Hire'!P36*$B$4,0))</f>
        <v>0</v>
      </c>
      <c r="P111" s="339">
        <f t="shared" si="30"/>
        <v>41105000</v>
      </c>
    </row>
    <row r="112" spans="1:16">
      <c r="A112" s="416" t="s">
        <v>493</v>
      </c>
      <c r="B112" s="443"/>
      <c r="C112" s="443"/>
      <c r="D112" s="443"/>
      <c r="E112" s="443"/>
      <c r="F112" s="443"/>
      <c r="G112" s="444"/>
      <c r="H112" s="444"/>
      <c r="I112" s="444"/>
      <c r="J112" s="444"/>
      <c r="K112" s="444"/>
      <c r="L112" s="444"/>
      <c r="M112" s="444"/>
      <c r="N112" s="444"/>
      <c r="O112" s="444"/>
      <c r="P112" s="339">
        <f t="shared" si="30"/>
        <v>0</v>
      </c>
    </row>
    <row r="113" spans="1:16">
      <c r="A113" s="405" t="s">
        <v>528</v>
      </c>
      <c r="B113" s="443"/>
      <c r="C113" s="443"/>
      <c r="D113" s="443"/>
      <c r="E113" s="443"/>
      <c r="F113" s="446"/>
      <c r="G113" s="446"/>
      <c r="H113" s="446"/>
      <c r="I113" s="446"/>
      <c r="J113" s="446"/>
      <c r="K113" s="446"/>
      <c r="L113" s="446"/>
      <c r="M113" s="446"/>
      <c r="N113" s="446"/>
      <c r="O113" s="446"/>
      <c r="P113" s="339">
        <f t="shared" si="30"/>
        <v>0</v>
      </c>
    </row>
    <row r="114" spans="1:16">
      <c r="A114" s="416" t="s">
        <v>592</v>
      </c>
      <c r="B114" s="326"/>
      <c r="C114" s="326"/>
      <c r="D114" s="326"/>
      <c r="E114" s="326"/>
      <c r="F114" s="326"/>
      <c r="G114" s="334"/>
      <c r="H114" s="326"/>
      <c r="I114" s="326"/>
      <c r="J114" s="446"/>
      <c r="K114" s="446"/>
      <c r="L114" s="446"/>
      <c r="M114" s="446"/>
      <c r="N114" s="446"/>
      <c r="O114" s="446"/>
      <c r="P114" s="339">
        <f t="shared" si="30"/>
        <v>0</v>
      </c>
    </row>
    <row r="115" spans="1:16">
      <c r="A115" s="408" t="s">
        <v>491</v>
      </c>
      <c r="B115" s="443"/>
      <c r="C115" s="326"/>
      <c r="D115" s="326"/>
      <c r="E115" s="447"/>
      <c r="F115" s="334"/>
      <c r="G115" s="334"/>
      <c r="H115" s="326"/>
      <c r="I115" s="326"/>
      <c r="J115" s="446"/>
      <c r="K115" s="326"/>
      <c r="L115" s="446"/>
      <c r="M115" s="446"/>
      <c r="N115" s="446"/>
      <c r="O115" s="446"/>
      <c r="P115" s="339">
        <f t="shared" si="30"/>
        <v>0</v>
      </c>
    </row>
    <row r="116" spans="1:16">
      <c r="A116" s="408" t="s">
        <v>497</v>
      </c>
      <c r="B116" s="443"/>
      <c r="C116" s="443"/>
      <c r="D116" s="443"/>
      <c r="E116" s="447"/>
      <c r="F116" s="334"/>
      <c r="G116" s="334"/>
      <c r="H116" s="326"/>
      <c r="I116" s="326"/>
      <c r="J116" s="446"/>
      <c r="K116" s="446"/>
      <c r="L116" s="446"/>
      <c r="M116" s="446"/>
      <c r="N116" s="446"/>
      <c r="O116" s="446"/>
      <c r="P116" s="339">
        <f t="shared" si="30"/>
        <v>0</v>
      </c>
    </row>
    <row r="117" spans="1:16">
      <c r="A117" s="6" t="s">
        <v>623</v>
      </c>
      <c r="B117" s="443"/>
      <c r="C117" s="443"/>
      <c r="D117" s="443"/>
      <c r="E117" s="447"/>
      <c r="F117" s="334"/>
      <c r="G117" s="334"/>
      <c r="H117" s="326"/>
      <c r="I117" s="326"/>
      <c r="J117" s="446"/>
      <c r="K117" s="446"/>
      <c r="L117" s="446"/>
      <c r="M117" s="446"/>
      <c r="N117" s="446"/>
      <c r="O117" s="446"/>
      <c r="P117" s="339">
        <f t="shared" si="30"/>
        <v>0</v>
      </c>
    </row>
    <row r="118" spans="1:16">
      <c r="A118" s="6" t="s">
        <v>624</v>
      </c>
      <c r="B118" s="443"/>
      <c r="C118" s="443"/>
      <c r="D118" s="443"/>
      <c r="E118" s="447"/>
      <c r="F118" s="334"/>
      <c r="G118" s="334"/>
      <c r="H118" s="326"/>
      <c r="I118" s="326"/>
      <c r="J118" s="446"/>
      <c r="K118" s="446"/>
      <c r="L118" s="446"/>
      <c r="M118" s="446"/>
      <c r="N118" s="446"/>
      <c r="O118" s="446"/>
      <c r="P118" s="339">
        <f t="shared" si="30"/>
        <v>0</v>
      </c>
    </row>
    <row r="119" spans="1:16">
      <c r="A119" s="6" t="s">
        <v>625</v>
      </c>
      <c r="B119" s="443"/>
      <c r="C119" s="443"/>
      <c r="D119" s="443"/>
      <c r="E119" s="443"/>
      <c r="F119" s="446"/>
      <c r="G119" s="447"/>
      <c r="H119" s="334"/>
      <c r="I119" s="334"/>
      <c r="J119" s="326"/>
      <c r="K119" s="326"/>
      <c r="L119" s="334"/>
      <c r="M119" s="446"/>
      <c r="N119" s="446"/>
      <c r="O119" s="446"/>
      <c r="P119" s="339">
        <f t="shared" si="30"/>
        <v>0</v>
      </c>
    </row>
    <row r="120" spans="1:16">
      <c r="A120" s="405" t="s">
        <v>606</v>
      </c>
      <c r="B120" s="443"/>
      <c r="C120" s="443"/>
      <c r="D120" s="443"/>
      <c r="E120" s="443"/>
      <c r="F120" s="446"/>
      <c r="G120" s="447"/>
      <c r="H120" s="334">
        <f>100*B4</f>
        <v>2320500</v>
      </c>
      <c r="I120" s="334">
        <f>100*B4</f>
        <v>2320500</v>
      </c>
      <c r="J120" s="326"/>
      <c r="K120" s="446"/>
      <c r="L120" s="334"/>
      <c r="M120" s="446"/>
      <c r="N120" s="446"/>
      <c r="O120" s="446"/>
      <c r="P120" s="339">
        <f t="shared" si="30"/>
        <v>4641000</v>
      </c>
    </row>
    <row r="121" spans="1:16">
      <c r="A121" s="405" t="s">
        <v>607</v>
      </c>
      <c r="B121" s="443"/>
      <c r="C121" s="443"/>
      <c r="D121" s="443"/>
      <c r="E121" s="443"/>
      <c r="F121" s="446"/>
      <c r="G121" s="447"/>
      <c r="H121" s="334">
        <f>200*B4</f>
        <v>4641000</v>
      </c>
      <c r="I121" s="334">
        <f>200*B4</f>
        <v>4641000</v>
      </c>
      <c r="J121" s="326"/>
      <c r="K121" s="446"/>
      <c r="L121" s="334"/>
      <c r="M121" s="446"/>
      <c r="N121" s="446"/>
      <c r="O121" s="446"/>
      <c r="P121" s="339">
        <f t="shared" si="30"/>
        <v>9282000</v>
      </c>
    </row>
    <row r="122" spans="1:16">
      <c r="A122" s="6" t="s">
        <v>1262</v>
      </c>
      <c r="B122" s="443">
        <f>B108-B120-B121</f>
        <v>5000000</v>
      </c>
      <c r="C122" s="443">
        <f t="shared" ref="C122:O122" si="38">C108-C120-C121</f>
        <v>4500000</v>
      </c>
      <c r="D122" s="443">
        <f t="shared" si="38"/>
        <v>7000000</v>
      </c>
      <c r="E122" s="443">
        <f t="shared" si="38"/>
        <v>9000000</v>
      </c>
      <c r="F122" s="443">
        <f t="shared" si="38"/>
        <v>14000000</v>
      </c>
      <c r="G122" s="443">
        <f t="shared" si="38"/>
        <v>0</v>
      </c>
      <c r="H122" s="443">
        <f t="shared" si="38"/>
        <v>109063500</v>
      </c>
      <c r="I122" s="443">
        <f t="shared" si="38"/>
        <v>85858500</v>
      </c>
      <c r="J122" s="443">
        <f t="shared" si="38"/>
        <v>50000000</v>
      </c>
      <c r="K122" s="443">
        <f t="shared" si="38"/>
        <v>8000000</v>
      </c>
      <c r="L122" s="443">
        <f t="shared" si="38"/>
        <v>90000000</v>
      </c>
      <c r="M122" s="443">
        <f t="shared" si="38"/>
        <v>5000000</v>
      </c>
      <c r="N122" s="443">
        <f t="shared" si="38"/>
        <v>6500000</v>
      </c>
      <c r="O122" s="443">
        <f t="shared" si="38"/>
        <v>0</v>
      </c>
      <c r="P122" s="339">
        <f t="shared" si="30"/>
        <v>393922000</v>
      </c>
    </row>
    <row r="123" spans="1:16">
      <c r="A123" s="6" t="s">
        <v>1261</v>
      </c>
      <c r="B123" s="443">
        <f t="shared" ref="B123:O123" si="39">B108-ROUND(B120/B13,0)-ROUND(B121/B13,0)</f>
        <v>5000000</v>
      </c>
      <c r="C123" s="443">
        <f t="shared" si="39"/>
        <v>4500000</v>
      </c>
      <c r="D123" s="443">
        <f t="shared" si="39"/>
        <v>7000000</v>
      </c>
      <c r="E123" s="443">
        <f t="shared" si="39"/>
        <v>9000000</v>
      </c>
      <c r="F123" s="443">
        <f t="shared" si="39"/>
        <v>14000000</v>
      </c>
      <c r="G123" s="443">
        <f t="shared" si="39"/>
        <v>0</v>
      </c>
      <c r="H123" s="443">
        <f t="shared" si="39"/>
        <v>102102000</v>
      </c>
      <c r="I123" s="443">
        <f t="shared" si="39"/>
        <v>83538000</v>
      </c>
      <c r="J123" s="443">
        <f t="shared" si="39"/>
        <v>50000000</v>
      </c>
      <c r="K123" s="443">
        <f t="shared" si="39"/>
        <v>8000000</v>
      </c>
      <c r="L123" s="443">
        <f t="shared" si="39"/>
        <v>90000000</v>
      </c>
      <c r="M123" s="443">
        <f t="shared" si="39"/>
        <v>5000000</v>
      </c>
      <c r="N123" s="443">
        <f t="shared" si="39"/>
        <v>6500000</v>
      </c>
      <c r="O123" s="443">
        <f t="shared" si="39"/>
        <v>0</v>
      </c>
      <c r="P123" s="339">
        <f t="shared" si="30"/>
        <v>384640000</v>
      </c>
    </row>
    <row r="124" spans="1:16">
      <c r="A124" s="6" t="s">
        <v>628</v>
      </c>
      <c r="B124" s="443">
        <f t="shared" ref="B124:O124" si="40">MIN(IF(OR(B18="A",B18="B"),0,ROUND((B123+B110+B111+B113)*B13/$B$4*$B$5,0)),27800000)</f>
        <v>0</v>
      </c>
      <c r="C124" s="443">
        <f t="shared" si="40"/>
        <v>0</v>
      </c>
      <c r="D124" s="443">
        <f t="shared" si="40"/>
        <v>0</v>
      </c>
      <c r="E124" s="443">
        <f t="shared" si="40"/>
        <v>0</v>
      </c>
      <c r="F124" s="443">
        <f t="shared" si="40"/>
        <v>0</v>
      </c>
      <c r="G124" s="443">
        <f t="shared" si="40"/>
        <v>0</v>
      </c>
      <c r="H124" s="443">
        <f t="shared" si="40"/>
        <v>27800000</v>
      </c>
      <c r="I124" s="443">
        <f t="shared" si="40"/>
        <v>27800000</v>
      </c>
      <c r="J124" s="443">
        <f t="shared" si="40"/>
        <v>0</v>
      </c>
      <c r="K124" s="443">
        <f t="shared" si="40"/>
        <v>0</v>
      </c>
      <c r="L124" s="443">
        <f t="shared" si="40"/>
        <v>0</v>
      </c>
      <c r="M124" s="443">
        <f t="shared" si="40"/>
        <v>0</v>
      </c>
      <c r="N124" s="443">
        <f t="shared" si="40"/>
        <v>0</v>
      </c>
      <c r="O124" s="443">
        <f t="shared" si="40"/>
        <v>0</v>
      </c>
      <c r="P124" s="339">
        <f t="shared" si="30"/>
        <v>55600000</v>
      </c>
    </row>
    <row r="125" spans="1:16">
      <c r="A125" s="6" t="s">
        <v>1201</v>
      </c>
      <c r="B125" s="443">
        <f t="shared" ref="B125:O125" si="41">IF(OR(B18="A",B18="B"),0,ROUND((B123+B110+B111+B113)*B13/$B$4*$B$5,0))</f>
        <v>0</v>
      </c>
      <c r="C125" s="443">
        <f t="shared" si="41"/>
        <v>0</v>
      </c>
      <c r="D125" s="443">
        <f t="shared" si="41"/>
        <v>0</v>
      </c>
      <c r="E125" s="443">
        <f t="shared" si="41"/>
        <v>0</v>
      </c>
      <c r="F125" s="443">
        <f t="shared" si="41"/>
        <v>0</v>
      </c>
      <c r="G125" s="443">
        <f t="shared" si="41"/>
        <v>0</v>
      </c>
      <c r="H125" s="443">
        <f t="shared" si="41"/>
        <v>69325000</v>
      </c>
      <c r="I125" s="443">
        <f t="shared" si="41"/>
        <v>63450000</v>
      </c>
      <c r="J125" s="443">
        <f t="shared" si="41"/>
        <v>0</v>
      </c>
      <c r="K125" s="443">
        <f t="shared" si="41"/>
        <v>0</v>
      </c>
      <c r="L125" s="443">
        <f t="shared" si="41"/>
        <v>0</v>
      </c>
      <c r="M125" s="443">
        <f t="shared" si="41"/>
        <v>0</v>
      </c>
      <c r="N125" s="443">
        <f t="shared" si="41"/>
        <v>0</v>
      </c>
      <c r="O125" s="443">
        <f t="shared" si="41"/>
        <v>0</v>
      </c>
      <c r="P125" s="339">
        <f t="shared" si="30"/>
        <v>132775000</v>
      </c>
    </row>
    <row r="126" spans="1:16">
      <c r="A126" s="6" t="s">
        <v>657</v>
      </c>
      <c r="B126" s="5">
        <v>0</v>
      </c>
      <c r="C126" s="5">
        <v>0</v>
      </c>
      <c r="D126" s="5">
        <v>0</v>
      </c>
      <c r="E126" s="5">
        <v>0</v>
      </c>
      <c r="F126" s="5">
        <v>0</v>
      </c>
      <c r="G126" s="5">
        <v>0</v>
      </c>
      <c r="H126" s="5">
        <v>0</v>
      </c>
      <c r="I126" s="5">
        <v>0</v>
      </c>
      <c r="J126" s="5">
        <v>0</v>
      </c>
      <c r="K126" s="5">
        <v>0</v>
      </c>
      <c r="L126" s="5">
        <v>0</v>
      </c>
      <c r="M126" s="5">
        <v>0</v>
      </c>
      <c r="N126" s="5">
        <v>0</v>
      </c>
      <c r="O126" s="5">
        <v>0</v>
      </c>
      <c r="P126" s="339">
        <f t="shared" si="30"/>
        <v>0</v>
      </c>
    </row>
  </sheetData>
  <mergeCells count="5">
    <mergeCell ref="G6:J6"/>
    <mergeCell ref="X6:AA6"/>
    <mergeCell ref="P7:P8"/>
    <mergeCell ref="X9:AA12"/>
    <mergeCell ref="X42:AA42"/>
  </mergeCells>
  <phoneticPr fontId="104" type="noConversion"/>
  <pageMargins left="0.75" right="0.75" top="1" bottom="1" header="0.5" footer="0.5"/>
  <pageSetup paperSize="9" orientation="portrait" verticalDpi="90" r:id="rId1"/>
  <headerFooter alignWithMargins="0"/>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C130"/>
  <sheetViews>
    <sheetView workbookViewId="0">
      <pane xSplit="1" ySplit="10" topLeftCell="B59" activePane="bottomRight" state="frozen"/>
      <selection pane="topRight" activeCell="B1" sqref="B1"/>
      <selection pane="bottomLeft" activeCell="A10" sqref="A10"/>
      <selection pane="bottomRight" activeCell="O89" sqref="O89"/>
    </sheetView>
  </sheetViews>
  <sheetFormatPr defaultRowHeight="13.8"/>
  <cols>
    <col min="1" max="1" width="31" style="5" bestFit="1" customWidth="1"/>
    <col min="2" max="5" width="10.77734375" style="5" customWidth="1"/>
    <col min="6" max="8" width="10.77734375" customWidth="1"/>
    <col min="9" max="9" width="11.6640625" bestFit="1" customWidth="1"/>
    <col min="10" max="15" width="10.77734375" customWidth="1"/>
    <col min="16" max="16" width="12.6640625" bestFit="1" customWidth="1"/>
    <col min="17" max="18" width="12.77734375" customWidth="1"/>
    <col min="19" max="21" width="10.77734375" customWidth="1"/>
    <col min="22" max="26" width="9.33203125" style="5" customWidth="1"/>
    <col min="27" max="27" width="10.77734375" style="5" bestFit="1" customWidth="1"/>
    <col min="28" max="29" width="9.33203125" style="5" customWidth="1"/>
  </cols>
  <sheetData>
    <row r="1" spans="1:29" s="3" customFormat="1" ht="20.399999999999999">
      <c r="A1" s="104" t="s">
        <v>6</v>
      </c>
      <c r="B1" s="104"/>
      <c r="C1" s="104"/>
      <c r="D1" s="104"/>
      <c r="E1" s="104"/>
      <c r="F1" s="440"/>
      <c r="L1" s="8"/>
      <c r="X1" s="1"/>
      <c r="Y1" s="1"/>
      <c r="Z1" s="1"/>
      <c r="AA1" s="1"/>
      <c r="AB1" s="1"/>
      <c r="AC1" s="1"/>
    </row>
    <row r="2" spans="1:29" s="3" customFormat="1" ht="12.75" customHeight="1">
      <c r="B2" s="110"/>
      <c r="C2" s="110"/>
      <c r="D2" s="110"/>
      <c r="E2" s="109"/>
      <c r="V2" s="22"/>
      <c r="W2" s="22"/>
      <c r="X2" s="22"/>
      <c r="Y2" s="22"/>
      <c r="Z2" s="22"/>
      <c r="AA2" s="2"/>
      <c r="AC2" s="2"/>
    </row>
    <row r="3" spans="1:29" s="3" customFormat="1" ht="30" customHeight="1">
      <c r="A3" s="106" t="s">
        <v>1333</v>
      </c>
      <c r="B3" s="110"/>
      <c r="C3" s="110"/>
      <c r="D3" s="110"/>
      <c r="E3" s="106"/>
      <c r="O3" s="682"/>
      <c r="V3" s="22"/>
      <c r="W3" s="22"/>
      <c r="X3" s="22"/>
      <c r="Y3" s="22"/>
      <c r="Z3" s="22"/>
      <c r="AA3" s="2"/>
      <c r="AC3" s="2"/>
    </row>
    <row r="4" spans="1:29" s="3" customFormat="1" ht="41.4" customHeight="1">
      <c r="A4" s="106"/>
      <c r="B4" s="110"/>
      <c r="C4" s="110"/>
      <c r="D4" s="110"/>
      <c r="E4" s="106"/>
      <c r="G4" s="761" t="s">
        <v>1334</v>
      </c>
      <c r="H4" s="761" t="s">
        <v>1309</v>
      </c>
      <c r="O4" s="761" t="s">
        <v>1306</v>
      </c>
      <c r="V4" s="22"/>
      <c r="W4" s="22"/>
      <c r="X4" s="22"/>
      <c r="Y4" s="22"/>
      <c r="Z4" s="22"/>
      <c r="AA4" s="2"/>
      <c r="AC4" s="2"/>
    </row>
    <row r="5" spans="1:29" s="110" customFormat="1">
      <c r="A5" s="110" t="s">
        <v>1265</v>
      </c>
      <c r="B5" s="361">
        <v>23205</v>
      </c>
      <c r="G5" s="762"/>
      <c r="H5" s="762"/>
      <c r="O5" s="762"/>
    </row>
    <row r="6" spans="1:29" s="110" customFormat="1">
      <c r="A6" s="110" t="s">
        <v>1268</v>
      </c>
      <c r="B6" s="361">
        <v>23500</v>
      </c>
      <c r="G6" s="763"/>
      <c r="H6" s="763"/>
      <c r="O6" s="763"/>
    </row>
    <row r="7" spans="1:29" s="3" customFormat="1" ht="18" customHeight="1">
      <c r="A7" s="321">
        <v>43616</v>
      </c>
      <c r="B7" s="110"/>
      <c r="C7" s="110"/>
      <c r="D7" s="110"/>
      <c r="G7" s="748" t="s">
        <v>52</v>
      </c>
      <c r="H7" s="748"/>
      <c r="I7" s="748"/>
      <c r="J7" s="748"/>
      <c r="O7" s="683"/>
      <c r="V7" s="22"/>
      <c r="W7" s="22"/>
      <c r="X7" s="747" t="s">
        <v>65</v>
      </c>
      <c r="Y7" s="747"/>
      <c r="Z7" s="747"/>
      <c r="AA7" s="747"/>
      <c r="AB7" s="2"/>
      <c r="AC7" s="2"/>
    </row>
    <row r="8" spans="1:29" s="4" customFormat="1">
      <c r="A8" s="402"/>
      <c r="B8" s="317" t="s">
        <v>34</v>
      </c>
      <c r="C8" s="318" t="s">
        <v>35</v>
      </c>
      <c r="D8" s="318" t="s">
        <v>36</v>
      </c>
      <c r="E8" s="318" t="s">
        <v>37</v>
      </c>
      <c r="F8" s="318" t="s">
        <v>38</v>
      </c>
      <c r="G8" s="511" t="s">
        <v>39</v>
      </c>
      <c r="H8" s="511" t="s">
        <v>40</v>
      </c>
      <c r="I8" s="318" t="s">
        <v>41</v>
      </c>
      <c r="J8" s="318" t="s">
        <v>42</v>
      </c>
      <c r="K8" s="318" t="s">
        <v>43</v>
      </c>
      <c r="L8" s="318" t="s">
        <v>44</v>
      </c>
      <c r="M8" s="318" t="s">
        <v>45</v>
      </c>
      <c r="N8" s="318" t="s">
        <v>46</v>
      </c>
      <c r="O8" s="511" t="s">
        <v>47</v>
      </c>
      <c r="P8" s="758" t="s">
        <v>498</v>
      </c>
      <c r="Q8" s="343" t="s">
        <v>514</v>
      </c>
      <c r="R8" s="343" t="s">
        <v>515</v>
      </c>
      <c r="S8" s="343" t="s">
        <v>517</v>
      </c>
      <c r="T8" s="343" t="s">
        <v>519</v>
      </c>
      <c r="U8" s="343" t="s">
        <v>521</v>
      </c>
      <c r="V8" s="344"/>
      <c r="W8" s="345"/>
      <c r="X8" s="345"/>
      <c r="Y8" s="345"/>
      <c r="Z8" s="345"/>
      <c r="AA8" s="345"/>
      <c r="AB8" s="345"/>
      <c r="AC8" s="346"/>
    </row>
    <row r="9" spans="1:29" ht="15.6">
      <c r="A9" s="403"/>
      <c r="B9" s="111">
        <f>'New Hire'!C6</f>
        <v>91999901</v>
      </c>
      <c r="C9" s="333">
        <f>'New Hire'!D6</f>
        <v>91999902</v>
      </c>
      <c r="D9" s="333">
        <f>'New Hire'!E6</f>
        <v>91999903</v>
      </c>
      <c r="E9" s="333">
        <f>'New Hire'!F6</f>
        <v>91999904</v>
      </c>
      <c r="F9" s="333">
        <f>'New Hire'!G6</f>
        <v>91999905</v>
      </c>
      <c r="G9" s="512">
        <f>'New Hire'!H6</f>
        <v>91999906</v>
      </c>
      <c r="H9" s="512">
        <f>'New Hire'!I6</f>
        <v>91999907</v>
      </c>
      <c r="I9" s="333">
        <f>'New Hire'!J6</f>
        <v>91999908</v>
      </c>
      <c r="J9" s="333">
        <f>'New Hire'!K6</f>
        <v>91999909</v>
      </c>
      <c r="K9" s="333">
        <f>'New Hire'!L6</f>
        <v>91999910</v>
      </c>
      <c r="L9" s="333">
        <f>'New Hire'!M6</f>
        <v>91999911</v>
      </c>
      <c r="M9" s="333">
        <f>'New Hire'!N6</f>
        <v>91999912</v>
      </c>
      <c r="N9" s="333">
        <f>'New Hire'!O6</f>
        <v>91999913</v>
      </c>
      <c r="O9" s="512">
        <f>'New Hire'!P6</f>
        <v>91999914</v>
      </c>
      <c r="P9" s="759"/>
      <c r="Q9" s="343" t="s">
        <v>513</v>
      </c>
      <c r="R9" s="343" t="s">
        <v>516</v>
      </c>
      <c r="S9" s="343" t="s">
        <v>518</v>
      </c>
      <c r="T9" s="343" t="s">
        <v>520</v>
      </c>
      <c r="U9" s="343" t="s">
        <v>522</v>
      </c>
      <c r="V9" s="47"/>
      <c r="W9" s="48"/>
      <c r="X9" s="20"/>
      <c r="Y9" s="20"/>
      <c r="Z9" s="20"/>
      <c r="AA9" s="20"/>
      <c r="AB9" s="20"/>
      <c r="AC9" s="15"/>
    </row>
    <row r="10" spans="1:29" ht="12.75" customHeight="1">
      <c r="A10" s="404" t="s">
        <v>63</v>
      </c>
      <c r="B10" s="23"/>
      <c r="C10" s="19"/>
      <c r="D10" s="19"/>
      <c r="E10" s="20"/>
      <c r="F10" s="19"/>
      <c r="G10" s="19"/>
      <c r="H10" s="21"/>
      <c r="I10" s="19"/>
      <c r="J10" s="19"/>
      <c r="K10" s="20"/>
      <c r="L10" s="20"/>
      <c r="M10" s="20"/>
      <c r="N10" s="20"/>
      <c r="O10" s="15"/>
      <c r="P10" s="15"/>
      <c r="Q10" s="20"/>
      <c r="R10" s="20"/>
      <c r="S10" s="20"/>
      <c r="T10" s="20"/>
      <c r="U10" s="20"/>
      <c r="V10" s="25"/>
      <c r="W10" s="26"/>
      <c r="X10" s="749" t="s">
        <v>601</v>
      </c>
      <c r="Y10" s="750"/>
      <c r="Z10" s="750"/>
      <c r="AA10" s="751"/>
      <c r="AB10" s="27"/>
      <c r="AC10" s="18"/>
    </row>
    <row r="11" spans="1:29">
      <c r="A11" s="417" t="s">
        <v>478</v>
      </c>
      <c r="B11" s="379">
        <v>43586</v>
      </c>
      <c r="C11" s="379">
        <v>43586</v>
      </c>
      <c r="D11" s="379">
        <v>43586</v>
      </c>
      <c r="E11" s="379">
        <v>43586</v>
      </c>
      <c r="F11" s="379">
        <v>43586</v>
      </c>
      <c r="G11" s="379">
        <v>43586</v>
      </c>
      <c r="H11" s="379">
        <v>43586</v>
      </c>
      <c r="I11" s="379">
        <v>43586</v>
      </c>
      <c r="J11" s="379">
        <v>43586</v>
      </c>
      <c r="K11" s="379">
        <v>43586</v>
      </c>
      <c r="L11" s="379">
        <v>43586</v>
      </c>
      <c r="M11" s="379">
        <v>43586</v>
      </c>
      <c r="N11" s="379">
        <v>43586</v>
      </c>
      <c r="O11" s="380">
        <v>43586</v>
      </c>
      <c r="P11" s="15"/>
      <c r="Q11" s="20"/>
      <c r="R11" s="20"/>
      <c r="S11" s="20"/>
      <c r="T11" s="20"/>
      <c r="U11" s="20"/>
      <c r="V11" s="28"/>
      <c r="W11" s="29"/>
      <c r="X11" s="752"/>
      <c r="Y11" s="753"/>
      <c r="Z11" s="753"/>
      <c r="AA11" s="754"/>
      <c r="AB11" s="30"/>
      <c r="AC11" s="15"/>
    </row>
    <row r="12" spans="1:29" ht="12.75" customHeight="1">
      <c r="A12" s="98" t="s">
        <v>489</v>
      </c>
      <c r="B12" s="381" t="str">
        <f>'New Hire'!C10</f>
        <v>1</v>
      </c>
      <c r="C12" s="382" t="str">
        <f>'New Hire'!D10</f>
        <v>P</v>
      </c>
      <c r="D12" s="382" t="str">
        <f>'New Hire'!E10</f>
        <v>3</v>
      </c>
      <c r="E12" s="382" t="str">
        <f>'New Hire'!F10</f>
        <v>3</v>
      </c>
      <c r="F12" s="382">
        <f>'New Hire'!G10</f>
        <v>4</v>
      </c>
      <c r="G12" s="382" t="s">
        <v>1331</v>
      </c>
      <c r="H12" s="382" t="str">
        <f>'New Hire'!I10</f>
        <v>I</v>
      </c>
      <c r="I12" s="382" t="str">
        <f>'New Hire'!J10</f>
        <v>S</v>
      </c>
      <c r="J12" s="382" t="str">
        <f>'New Hire'!K10</f>
        <v>P</v>
      </c>
      <c r="K12" s="382" t="str">
        <f>'New Hire'!L10</f>
        <v>1</v>
      </c>
      <c r="L12" s="382" t="str">
        <f>'New Hire'!M10</f>
        <v>1</v>
      </c>
      <c r="M12" s="382">
        <f>'New Hire'!N10</f>
        <v>3</v>
      </c>
      <c r="N12" s="382">
        <f>'New Hire'!O10</f>
        <v>3</v>
      </c>
      <c r="O12" s="679" t="s">
        <v>1164</v>
      </c>
      <c r="P12" s="336"/>
      <c r="Q12" s="20"/>
      <c r="R12" s="20"/>
      <c r="S12" s="20"/>
      <c r="T12" s="20"/>
      <c r="U12" s="20"/>
      <c r="V12" s="32"/>
      <c r="W12" s="20"/>
      <c r="X12" s="752"/>
      <c r="Y12" s="753"/>
      <c r="Z12" s="753"/>
      <c r="AA12" s="754"/>
      <c r="AB12" s="20"/>
      <c r="AC12" s="15"/>
    </row>
    <row r="13" spans="1:29" ht="12.75" customHeight="1">
      <c r="A13" s="98" t="s">
        <v>490</v>
      </c>
      <c r="B13" s="384" t="str">
        <f>'New Hire'!C11</f>
        <v>;P</v>
      </c>
      <c r="C13" s="385" t="str">
        <f>'New Hire'!D11</f>
        <v>;A</v>
      </c>
      <c r="D13" s="385" t="str">
        <f>'New Hire'!E11</f>
        <v>;E</v>
      </c>
      <c r="E13" s="385" t="str">
        <f>'New Hire'!F11</f>
        <v>;I</v>
      </c>
      <c r="F13" s="385" t="str">
        <f>'New Hire'!G11</f>
        <v>;P</v>
      </c>
      <c r="G13" s="385" t="str">
        <f>'New Hire'!H11</f>
        <v>;A</v>
      </c>
      <c r="H13" s="385" t="str">
        <f>'New Hire'!I11</f>
        <v>;A</v>
      </c>
      <c r="I13" s="385" t="str">
        <f>'New Hire'!J11</f>
        <v>;V</v>
      </c>
      <c r="J13" s="385" t="str">
        <f>'New Hire'!K11</f>
        <v>;P</v>
      </c>
      <c r="K13" s="385" t="str">
        <f>'New Hire'!L11</f>
        <v>;A</v>
      </c>
      <c r="L13" s="385" t="str">
        <f>'New Hire'!M11</f>
        <v>;I</v>
      </c>
      <c r="M13" s="385" t="str">
        <f>'New Hire'!N11</f>
        <v>;P</v>
      </c>
      <c r="N13" s="385" t="str">
        <f>'New Hire'!O11</f>
        <v>;P</v>
      </c>
      <c r="O13" s="385" t="str">
        <f>'New Hire'!P11</f>
        <v>;I</v>
      </c>
      <c r="P13" s="336"/>
      <c r="Q13" s="20"/>
      <c r="R13" s="20"/>
      <c r="S13" s="20"/>
      <c r="T13" s="20"/>
      <c r="U13" s="20"/>
      <c r="V13" s="32"/>
      <c r="W13" s="20"/>
      <c r="X13" s="755"/>
      <c r="Y13" s="756"/>
      <c r="Z13" s="756"/>
      <c r="AA13" s="757"/>
      <c r="AB13" s="20"/>
      <c r="AC13" s="15"/>
    </row>
    <row r="14" spans="1:29">
      <c r="A14" s="99" t="s">
        <v>476</v>
      </c>
      <c r="B14" s="648">
        <f>'New Hire'!C27</f>
        <v>1</v>
      </c>
      <c r="C14" s="649">
        <f>'New Hire'!D27</f>
        <v>0.9</v>
      </c>
      <c r="D14" s="649">
        <f>'New Hire'!E27</f>
        <v>1</v>
      </c>
      <c r="E14" s="649">
        <f>'New Hire'!F27</f>
        <v>1</v>
      </c>
      <c r="F14" s="649">
        <f>'New Hire'!G27</f>
        <v>0.8</v>
      </c>
      <c r="G14" s="649">
        <f>'New Hire'!H27</f>
        <v>1</v>
      </c>
      <c r="H14" s="649">
        <f>'New Hire'!I27</f>
        <v>0.5</v>
      </c>
      <c r="I14" s="649">
        <f>'New Hire'!J27</f>
        <v>0.75</v>
      </c>
      <c r="J14" s="649">
        <f>'New Hire'!K27</f>
        <v>0.6</v>
      </c>
      <c r="K14" s="649">
        <f>'New Hire'!L27</f>
        <v>1</v>
      </c>
      <c r="L14" s="649">
        <f>'New Hire'!M27</f>
        <v>1</v>
      </c>
      <c r="M14" s="649">
        <f>'New Hire'!N27</f>
        <v>1</v>
      </c>
      <c r="N14" s="649">
        <f>'New Hire'!O27</f>
        <v>1</v>
      </c>
      <c r="O14" s="649">
        <f>'New Hire'!P27</f>
        <v>1</v>
      </c>
      <c r="P14" s="336"/>
      <c r="Q14" s="20"/>
      <c r="R14" s="20"/>
      <c r="S14" s="20"/>
      <c r="T14" s="20"/>
      <c r="U14" s="20"/>
      <c r="V14" s="23"/>
      <c r="W14" s="19"/>
      <c r="X14" s="19"/>
      <c r="Y14" s="19"/>
      <c r="Z14" s="19"/>
      <c r="AA14" s="19"/>
      <c r="AB14" s="19"/>
      <c r="AC14" s="31"/>
    </row>
    <row r="15" spans="1:29">
      <c r="A15" s="98" t="s">
        <v>479</v>
      </c>
      <c r="B15" s="388">
        <f>NETWORKDAYS(B11,$A$7)</f>
        <v>23</v>
      </c>
      <c r="C15" s="332">
        <f>NETWORKDAYS(C11,$A$7)</f>
        <v>23</v>
      </c>
      <c r="D15" s="332">
        <f>NETWORKDAYS(D11,$A$7)</f>
        <v>23</v>
      </c>
      <c r="E15" s="332">
        <f>NETWORKDAYS(E11,$A$7)</f>
        <v>23</v>
      </c>
      <c r="F15" s="332">
        <f>NETWORKDAYS(F11,$A$7)</f>
        <v>23</v>
      </c>
      <c r="G15" s="332">
        <v>8</v>
      </c>
      <c r="H15" s="332">
        <f t="shared" ref="H15:O15" si="0">NETWORKDAYS(H11,$A$7)</f>
        <v>23</v>
      </c>
      <c r="I15" s="332">
        <f t="shared" si="0"/>
        <v>23</v>
      </c>
      <c r="J15" s="332">
        <f t="shared" si="0"/>
        <v>23</v>
      </c>
      <c r="K15" s="332">
        <f t="shared" si="0"/>
        <v>23</v>
      </c>
      <c r="L15" s="332">
        <f t="shared" si="0"/>
        <v>23</v>
      </c>
      <c r="M15" s="332">
        <f t="shared" si="0"/>
        <v>23</v>
      </c>
      <c r="N15" s="332">
        <f t="shared" si="0"/>
        <v>23</v>
      </c>
      <c r="O15" s="332">
        <f t="shared" si="0"/>
        <v>23</v>
      </c>
      <c r="P15" s="336"/>
      <c r="Q15" s="20"/>
      <c r="R15" s="20"/>
      <c r="S15" s="20"/>
      <c r="T15" s="20"/>
      <c r="U15" s="20"/>
      <c r="V15" s="23"/>
      <c r="W15" s="19"/>
      <c r="X15" s="19"/>
      <c r="Y15" s="19"/>
      <c r="Z15" s="19"/>
      <c r="AA15" s="19"/>
      <c r="AB15" s="19"/>
      <c r="AC15" s="31"/>
    </row>
    <row r="16" spans="1:29">
      <c r="A16" s="98" t="s">
        <v>479</v>
      </c>
      <c r="B16" s="332"/>
      <c r="C16" s="332"/>
      <c r="D16" s="332"/>
      <c r="E16" s="332"/>
      <c r="F16" s="332"/>
      <c r="G16" s="332">
        <v>15</v>
      </c>
      <c r="H16" s="332"/>
      <c r="I16" s="332"/>
      <c r="J16" s="332"/>
      <c r="K16" s="332"/>
      <c r="L16" s="332"/>
      <c r="M16" s="332"/>
      <c r="N16" s="332"/>
      <c r="O16" s="332"/>
      <c r="P16" s="336"/>
      <c r="Q16" s="20"/>
      <c r="R16" s="20"/>
      <c r="S16" s="20"/>
      <c r="T16" s="20"/>
      <c r="U16" s="20"/>
      <c r="V16" s="23"/>
      <c r="W16" s="19"/>
      <c r="X16" s="19"/>
      <c r="Y16" s="19"/>
      <c r="Z16" s="19"/>
      <c r="AA16" s="19"/>
      <c r="AB16" s="19"/>
      <c r="AC16" s="31"/>
    </row>
    <row r="17" spans="1:29">
      <c r="A17" s="417" t="s">
        <v>632</v>
      </c>
      <c r="B17" s="332">
        <f>NETWORKDAYS(EOMONTH($A$7,-1)+1,EOMONTH($A$7,0))</f>
        <v>23</v>
      </c>
      <c r="C17" s="332">
        <f t="shared" ref="C17:O17" si="1">NETWORKDAYS(EOMONTH($A$7,-1)+1,EOMONTH($A$7,0))</f>
        <v>23</v>
      </c>
      <c r="D17" s="332">
        <f t="shared" si="1"/>
        <v>23</v>
      </c>
      <c r="E17" s="332">
        <f t="shared" si="1"/>
        <v>23</v>
      </c>
      <c r="F17" s="332">
        <f t="shared" si="1"/>
        <v>23</v>
      </c>
      <c r="G17" s="332">
        <f t="shared" si="1"/>
        <v>23</v>
      </c>
      <c r="H17" s="332">
        <f t="shared" si="1"/>
        <v>23</v>
      </c>
      <c r="I17" s="332">
        <f t="shared" si="1"/>
        <v>23</v>
      </c>
      <c r="J17" s="332">
        <f t="shared" si="1"/>
        <v>23</v>
      </c>
      <c r="K17" s="332">
        <f t="shared" si="1"/>
        <v>23</v>
      </c>
      <c r="L17" s="332">
        <f t="shared" si="1"/>
        <v>23</v>
      </c>
      <c r="M17" s="332">
        <f t="shared" si="1"/>
        <v>23</v>
      </c>
      <c r="N17" s="332">
        <f t="shared" si="1"/>
        <v>23</v>
      </c>
      <c r="O17" s="332">
        <f t="shared" si="1"/>
        <v>23</v>
      </c>
      <c r="P17" s="336"/>
      <c r="Q17" s="20"/>
      <c r="R17" s="20"/>
      <c r="S17" s="20"/>
      <c r="T17" s="20"/>
      <c r="U17" s="20"/>
      <c r="V17" s="23"/>
      <c r="W17" s="19"/>
      <c r="X17" s="19"/>
      <c r="Y17" s="19"/>
      <c r="Z17" s="19"/>
      <c r="AA17" s="19"/>
      <c r="AB17" s="19"/>
      <c r="AC17" s="31"/>
    </row>
    <row r="18" spans="1:29">
      <c r="A18" s="98" t="s">
        <v>511</v>
      </c>
      <c r="B18" s="390">
        <f>_xlfn.DAYS($A$7,B11)+1</f>
        <v>31</v>
      </c>
      <c r="C18" s="329">
        <f>_xlfn.DAYS($A$7,C11)+1</f>
        <v>31</v>
      </c>
      <c r="D18" s="329">
        <f>_xlfn.DAYS($A$7,D11)+1</f>
        <v>31</v>
      </c>
      <c r="E18" s="329">
        <f>_xlfn.DAYS($A$7,E11)+1</f>
        <v>31</v>
      </c>
      <c r="F18" s="329">
        <f>_xlfn.DAYS($A$7,F11)+1</f>
        <v>31</v>
      </c>
      <c r="G18" s="329">
        <v>12</v>
      </c>
      <c r="H18" s="329">
        <f t="shared" ref="H18:O18" si="2">_xlfn.DAYS($A$7,H11)+1</f>
        <v>31</v>
      </c>
      <c r="I18" s="329">
        <f t="shared" si="2"/>
        <v>31</v>
      </c>
      <c r="J18" s="329">
        <f t="shared" si="2"/>
        <v>31</v>
      </c>
      <c r="K18" s="329">
        <f t="shared" si="2"/>
        <v>31</v>
      </c>
      <c r="L18" s="329">
        <f t="shared" si="2"/>
        <v>31</v>
      </c>
      <c r="M18" s="329">
        <f t="shared" si="2"/>
        <v>31</v>
      </c>
      <c r="N18" s="329">
        <f t="shared" si="2"/>
        <v>31</v>
      </c>
      <c r="O18" s="329">
        <f t="shared" si="2"/>
        <v>31</v>
      </c>
      <c r="P18" s="336"/>
      <c r="Q18" s="20"/>
      <c r="R18" s="20"/>
      <c r="S18" s="20"/>
      <c r="T18" s="20"/>
      <c r="U18" s="20"/>
      <c r="V18" s="23"/>
      <c r="W18" s="19"/>
      <c r="X18" s="19"/>
      <c r="Y18" s="19"/>
      <c r="Z18" s="19"/>
      <c r="AA18" s="19"/>
      <c r="AB18" s="19"/>
      <c r="AC18" s="31"/>
    </row>
    <row r="19" spans="1:29">
      <c r="A19" s="98" t="s">
        <v>511</v>
      </c>
      <c r="B19" s="390"/>
      <c r="C19" s="329"/>
      <c r="D19" s="329"/>
      <c r="E19" s="329"/>
      <c r="F19" s="329"/>
      <c r="G19" s="329">
        <v>19</v>
      </c>
      <c r="H19" s="329"/>
      <c r="I19" s="329"/>
      <c r="J19" s="329"/>
      <c r="K19" s="329"/>
      <c r="L19" s="329"/>
      <c r="M19" s="329"/>
      <c r="N19" s="329"/>
      <c r="O19" s="329"/>
      <c r="P19" s="336"/>
      <c r="Q19" s="20"/>
      <c r="R19" s="20"/>
      <c r="S19" s="20"/>
      <c r="T19" s="20"/>
      <c r="U19" s="20"/>
      <c r="V19" s="23"/>
      <c r="W19" s="19"/>
      <c r="X19" s="19"/>
      <c r="Y19" s="19"/>
      <c r="Z19" s="19"/>
      <c r="AA19" s="19"/>
      <c r="AB19" s="19"/>
      <c r="AC19" s="31"/>
    </row>
    <row r="20" spans="1:29">
      <c r="A20" s="98" t="s">
        <v>531</v>
      </c>
      <c r="B20" s="330">
        <f>DATEDIF('New Hire'!C41,$A$7,"Y")</f>
        <v>9</v>
      </c>
      <c r="C20" s="331">
        <f>DATEDIF('New Hire'!D41,$A$7,"Y")</f>
        <v>13</v>
      </c>
      <c r="D20" s="331">
        <f>DATEDIF('New Hire'!E41,$A$7,"Y")</f>
        <v>0</v>
      </c>
      <c r="E20" s="331">
        <f>DATEDIF('New Hire'!F41,$A$7,"Y")</f>
        <v>4</v>
      </c>
      <c r="F20" s="331">
        <f>DATEDIF('New Hire'!G41,$A$7,"Y")</f>
        <v>9</v>
      </c>
      <c r="G20" s="331">
        <f>DATEDIF('New Hire'!H41,$A$7,"Y")</f>
        <v>0</v>
      </c>
      <c r="H20" s="331">
        <f>DATEDIF('New Hire'!I41,$A$7,"Y")</f>
        <v>14</v>
      </c>
      <c r="I20" s="331">
        <f>DATEDIF('New Hire'!J41,$A$7,"Y")</f>
        <v>0</v>
      </c>
      <c r="J20" s="331">
        <f>DATEDIF('New Hire'!K41,$A$7,"Y")</f>
        <v>0</v>
      </c>
      <c r="K20" s="331">
        <f>DATEDIF('New Hire'!L41,$A$7,"Y")</f>
        <v>9</v>
      </c>
      <c r="L20" s="331">
        <f>DATEDIF('New Hire'!M41,$A$7,"Y")</f>
        <v>4</v>
      </c>
      <c r="M20" s="331">
        <f>DATEDIF('New Hire'!N41,$A$7,"Y")</f>
        <v>0</v>
      </c>
      <c r="N20" s="331">
        <f>DATEDIF('New Hire'!O41,$A$7,"Y")</f>
        <v>11</v>
      </c>
      <c r="O20" s="331">
        <f>DATEDIF('New Hire'!P41,$A$7,"Y")</f>
        <v>0</v>
      </c>
      <c r="P20" s="336"/>
      <c r="Q20" s="20"/>
      <c r="R20" s="20"/>
      <c r="S20" s="20"/>
      <c r="T20" s="20"/>
      <c r="U20" s="20"/>
      <c r="V20" s="23"/>
      <c r="W20" s="19"/>
      <c r="X20" s="19"/>
      <c r="Y20" s="19"/>
      <c r="Z20" s="19"/>
      <c r="AA20" s="19"/>
      <c r="AB20" s="19"/>
      <c r="AC20" s="31"/>
    </row>
    <row r="21" spans="1:29" ht="15.6">
      <c r="A21" s="98" t="s">
        <v>563</v>
      </c>
      <c r="B21" s="330" t="str">
        <f>'New Hire'!C52</f>
        <v>A</v>
      </c>
      <c r="C21" s="331" t="str">
        <f>'New Hire'!D52</f>
        <v>A</v>
      </c>
      <c r="D21" s="331" t="str">
        <f>'New Hire'!E52</f>
        <v>A</v>
      </c>
      <c r="E21" s="331" t="str">
        <f>'New Hire'!F52</f>
        <v>B</v>
      </c>
      <c r="F21" s="331" t="str">
        <f>'New Hire'!G52</f>
        <v>B</v>
      </c>
      <c r="G21" s="331" t="str">
        <f>'New Hire'!H52</f>
        <v>C</v>
      </c>
      <c r="H21" s="331" t="str">
        <f>'New Hire'!I52</f>
        <v>D</v>
      </c>
      <c r="I21" s="331" t="str">
        <f>'New Hire'!J52</f>
        <v>D</v>
      </c>
      <c r="J21" s="331" t="str">
        <f>'New Hire'!K52</f>
        <v>A</v>
      </c>
      <c r="K21" s="331" t="str">
        <f>'New Hire'!L52</f>
        <v>A</v>
      </c>
      <c r="L21" s="331" t="str">
        <f>'New Hire'!M52</f>
        <v>A</v>
      </c>
      <c r="M21" s="331" t="str">
        <f>'New Hire'!N52</f>
        <v>A</v>
      </c>
      <c r="N21" s="331" t="str">
        <f>'New Hire'!O52</f>
        <v>A</v>
      </c>
      <c r="O21" s="331" t="str">
        <f>'New Hire'!P52</f>
        <v>B</v>
      </c>
      <c r="P21" s="336"/>
      <c r="Q21" s="20"/>
      <c r="R21" s="20"/>
      <c r="S21" s="20"/>
      <c r="T21" s="20"/>
      <c r="U21" s="20"/>
      <c r="V21" s="40"/>
      <c r="W21" s="41"/>
      <c r="X21" s="19"/>
      <c r="Y21" s="19"/>
      <c r="Z21" s="19"/>
      <c r="AA21" s="19"/>
      <c r="AB21" s="16"/>
      <c r="AC21" s="17"/>
    </row>
    <row r="22" spans="1:29">
      <c r="A22" s="97" t="s">
        <v>107</v>
      </c>
      <c r="B22" s="661">
        <v>1</v>
      </c>
      <c r="C22" s="88">
        <v>2</v>
      </c>
      <c r="D22" s="88">
        <v>1</v>
      </c>
      <c r="E22" s="88">
        <v>3</v>
      </c>
      <c r="F22" s="88">
        <v>0</v>
      </c>
      <c r="G22" s="88">
        <v>0</v>
      </c>
      <c r="H22" s="88">
        <v>2</v>
      </c>
      <c r="I22" s="88">
        <v>0</v>
      </c>
      <c r="J22" s="88">
        <v>0</v>
      </c>
      <c r="K22" s="88">
        <v>0</v>
      </c>
      <c r="L22" s="88">
        <v>0</v>
      </c>
      <c r="M22" s="88">
        <v>0</v>
      </c>
      <c r="N22" s="88">
        <v>0</v>
      </c>
      <c r="O22" s="88">
        <v>0</v>
      </c>
      <c r="P22" s="336"/>
      <c r="Q22" s="20"/>
      <c r="R22" s="20"/>
      <c r="S22" s="20"/>
      <c r="T22" s="20"/>
      <c r="U22" s="20"/>
      <c r="V22" s="50"/>
      <c r="W22" s="44"/>
      <c r="X22" s="44"/>
      <c r="Y22" s="44"/>
      <c r="Z22" s="44"/>
      <c r="AA22" s="44"/>
      <c r="AB22" s="44"/>
      <c r="AC22" s="51"/>
    </row>
    <row r="23" spans="1:29">
      <c r="A23" s="450" t="s">
        <v>113</v>
      </c>
      <c r="B23" s="89">
        <f>IF(OR(B21="A",B21="C"),3600000*B22,0)</f>
        <v>3600000</v>
      </c>
      <c r="C23" s="89">
        <f t="shared" ref="C23:O23" si="3">IF(OR(C21="A",C21="C"),3600000*C22,0)</f>
        <v>7200000</v>
      </c>
      <c r="D23" s="89">
        <f t="shared" si="3"/>
        <v>3600000</v>
      </c>
      <c r="E23" s="89">
        <f t="shared" si="3"/>
        <v>0</v>
      </c>
      <c r="F23" s="89">
        <f t="shared" si="3"/>
        <v>0</v>
      </c>
      <c r="G23" s="89">
        <f t="shared" si="3"/>
        <v>0</v>
      </c>
      <c r="H23" s="89">
        <f t="shared" si="3"/>
        <v>0</v>
      </c>
      <c r="I23" s="89">
        <f t="shared" si="3"/>
        <v>0</v>
      </c>
      <c r="J23" s="89">
        <f t="shared" si="3"/>
        <v>0</v>
      </c>
      <c r="K23" s="89">
        <f t="shared" si="3"/>
        <v>0</v>
      </c>
      <c r="L23" s="89">
        <f t="shared" si="3"/>
        <v>0</v>
      </c>
      <c r="M23" s="89">
        <f t="shared" si="3"/>
        <v>0</v>
      </c>
      <c r="N23" s="89">
        <f t="shared" si="3"/>
        <v>0</v>
      </c>
      <c r="O23" s="89">
        <f t="shared" si="3"/>
        <v>0</v>
      </c>
      <c r="P23" s="589">
        <f>SUM(B23:O23)</f>
        <v>14400000</v>
      </c>
      <c r="Q23" s="66"/>
      <c r="R23" s="66"/>
      <c r="S23" s="66"/>
      <c r="T23" s="66"/>
      <c r="U23" s="66"/>
      <c r="V23" s="112" t="s">
        <v>57</v>
      </c>
      <c r="W23" s="113" t="s">
        <v>67</v>
      </c>
      <c r="X23" s="113" t="s">
        <v>69</v>
      </c>
      <c r="Y23" s="113" t="s">
        <v>70</v>
      </c>
      <c r="Z23" s="113" t="s">
        <v>56</v>
      </c>
      <c r="AA23" s="113" t="s">
        <v>54</v>
      </c>
      <c r="AB23" s="113" t="s">
        <v>58</v>
      </c>
      <c r="AC23" s="114" t="s">
        <v>59</v>
      </c>
    </row>
    <row r="24" spans="1:29">
      <c r="A24" s="450" t="s">
        <v>114</v>
      </c>
      <c r="B24" s="89">
        <f>IF(OR(B21="A",B21="C"),9000000,0)</f>
        <v>9000000</v>
      </c>
      <c r="C24" s="89">
        <f t="shared" ref="C24:O24" si="4">IF(OR(C21="A",C21="C"),9000000,0)</f>
        <v>9000000</v>
      </c>
      <c r="D24" s="89">
        <f t="shared" si="4"/>
        <v>9000000</v>
      </c>
      <c r="E24" s="89">
        <f t="shared" si="4"/>
        <v>0</v>
      </c>
      <c r="F24" s="89">
        <f t="shared" si="4"/>
        <v>0</v>
      </c>
      <c r="G24" s="89">
        <f t="shared" si="4"/>
        <v>9000000</v>
      </c>
      <c r="H24" s="89">
        <f t="shared" si="4"/>
        <v>0</v>
      </c>
      <c r="I24" s="89">
        <f t="shared" si="4"/>
        <v>0</v>
      </c>
      <c r="J24" s="89">
        <f t="shared" si="4"/>
        <v>9000000</v>
      </c>
      <c r="K24" s="89">
        <f t="shared" si="4"/>
        <v>9000000</v>
      </c>
      <c r="L24" s="89">
        <f t="shared" si="4"/>
        <v>9000000</v>
      </c>
      <c r="M24" s="89">
        <f t="shared" si="4"/>
        <v>9000000</v>
      </c>
      <c r="N24" s="89">
        <f t="shared" si="4"/>
        <v>9000000</v>
      </c>
      <c r="O24" s="89">
        <f t="shared" si="4"/>
        <v>0</v>
      </c>
      <c r="P24" s="589">
        <f>SUM(B24:O24)</f>
        <v>81000000</v>
      </c>
      <c r="Q24" s="66"/>
      <c r="R24" s="66"/>
      <c r="S24" s="66"/>
      <c r="T24" s="66"/>
      <c r="U24" s="66"/>
      <c r="V24" s="350" t="s">
        <v>2</v>
      </c>
      <c r="W24" s="351">
        <v>91999901</v>
      </c>
      <c r="X24" s="352" t="s">
        <v>505</v>
      </c>
      <c r="Y24" s="352" t="s">
        <v>506</v>
      </c>
      <c r="Z24" s="353" t="s">
        <v>507</v>
      </c>
      <c r="AA24" s="354">
        <v>8000000</v>
      </c>
      <c r="AB24" s="352"/>
      <c r="AC24" s="355"/>
    </row>
    <row r="25" spans="1:29" ht="15.6">
      <c r="A25" s="406" t="s">
        <v>53</v>
      </c>
      <c r="B25" s="64"/>
      <c r="C25" s="65"/>
      <c r="D25" s="65"/>
      <c r="E25" s="66"/>
      <c r="F25" s="65"/>
      <c r="G25" s="65"/>
      <c r="H25" s="21"/>
      <c r="I25" s="65"/>
      <c r="J25" s="65"/>
      <c r="K25" s="66"/>
      <c r="L25" s="66"/>
      <c r="M25" s="66"/>
      <c r="N25" s="66"/>
      <c r="O25" s="376"/>
      <c r="P25" s="376"/>
      <c r="Q25" s="89" t="s">
        <v>523</v>
      </c>
      <c r="R25" s="89" t="s">
        <v>523</v>
      </c>
      <c r="S25" s="89" t="s">
        <v>523</v>
      </c>
      <c r="T25" s="89" t="s">
        <v>523</v>
      </c>
      <c r="U25" s="89" t="s">
        <v>523</v>
      </c>
      <c r="V25" s="350" t="s">
        <v>2</v>
      </c>
      <c r="W25" s="351">
        <v>91999902</v>
      </c>
      <c r="X25" s="352" t="s">
        <v>505</v>
      </c>
      <c r="Y25" s="352" t="s">
        <v>506</v>
      </c>
      <c r="Z25" s="353" t="s">
        <v>507</v>
      </c>
      <c r="AA25" s="354">
        <v>8000000</v>
      </c>
      <c r="AB25" s="352"/>
      <c r="AC25" s="355"/>
    </row>
    <row r="26" spans="1:29">
      <c r="A26" s="407" t="s">
        <v>55</v>
      </c>
      <c r="B26" s="64"/>
      <c r="C26" s="65"/>
      <c r="D26" s="65"/>
      <c r="E26" s="66"/>
      <c r="F26" s="65"/>
      <c r="G26" s="65"/>
      <c r="H26" s="21"/>
      <c r="I26" s="65"/>
      <c r="J26" s="65"/>
      <c r="K26" s="66"/>
      <c r="L26" s="66"/>
      <c r="M26" s="66"/>
      <c r="N26" s="66"/>
      <c r="O26" s="376"/>
      <c r="P26" s="376"/>
      <c r="Q26" s="373" t="s">
        <v>523</v>
      </c>
      <c r="R26" s="373" t="s">
        <v>523</v>
      </c>
      <c r="S26" s="373" t="s">
        <v>523</v>
      </c>
      <c r="T26" s="373" t="s">
        <v>523</v>
      </c>
      <c r="U26" s="89" t="s">
        <v>523</v>
      </c>
      <c r="V26" s="350" t="s">
        <v>2</v>
      </c>
      <c r="W26" s="351">
        <v>91999904</v>
      </c>
      <c r="X26" s="352" t="s">
        <v>509</v>
      </c>
      <c r="Y26" s="352" t="s">
        <v>506</v>
      </c>
      <c r="Z26" s="353" t="s">
        <v>507</v>
      </c>
      <c r="AA26" s="354">
        <v>8000000</v>
      </c>
      <c r="AB26" s="352"/>
      <c r="AC26" s="355"/>
    </row>
    <row r="27" spans="1:29">
      <c r="A27" s="436" t="s">
        <v>477</v>
      </c>
      <c r="B27" s="326">
        <f>ROUND(B127*B76,0)</f>
        <v>5000000</v>
      </c>
      <c r="C27" s="326">
        <f>ROUND(C127*C76,0)</f>
        <v>4050000</v>
      </c>
      <c r="D27" s="326">
        <f>ROUND(D127*D76,0)</f>
        <v>7000000</v>
      </c>
      <c r="E27" s="326">
        <f>ROUND(E127*E76,0)</f>
        <v>9000000</v>
      </c>
      <c r="F27" s="326">
        <f>ROUND(F127*F76,0)</f>
        <v>11200000</v>
      </c>
      <c r="G27" s="326">
        <f>ROUND(G127*G77,0)</f>
        <v>48427825</v>
      </c>
      <c r="H27" s="326">
        <f t="shared" ref="H27:O27" si="5">ROUND(H127*H76,0)</f>
        <v>51051000</v>
      </c>
      <c r="I27" s="326">
        <f t="shared" si="5"/>
        <v>62653500</v>
      </c>
      <c r="J27" s="326">
        <f t="shared" si="5"/>
        <v>30000000</v>
      </c>
      <c r="K27" s="326">
        <f t="shared" si="5"/>
        <v>8000000</v>
      </c>
      <c r="L27" s="326">
        <f t="shared" si="5"/>
        <v>90000000</v>
      </c>
      <c r="M27" s="326">
        <f t="shared" si="5"/>
        <v>5000000</v>
      </c>
      <c r="N27" s="326">
        <f t="shared" si="5"/>
        <v>6500000</v>
      </c>
      <c r="O27" s="326">
        <f t="shared" si="5"/>
        <v>6000000</v>
      </c>
      <c r="P27" s="338">
        <f>SUM(B27:O27)</f>
        <v>343882325</v>
      </c>
      <c r="Q27" s="373" t="s">
        <v>523</v>
      </c>
      <c r="R27" s="373" t="s">
        <v>523</v>
      </c>
      <c r="S27" s="373" t="s">
        <v>523</v>
      </c>
      <c r="T27" s="373" t="s">
        <v>523</v>
      </c>
      <c r="U27" s="89" t="s">
        <v>523</v>
      </c>
      <c r="V27" s="350" t="s">
        <v>2</v>
      </c>
      <c r="W27" s="351">
        <v>91999905</v>
      </c>
      <c r="X27" s="352" t="s">
        <v>505</v>
      </c>
      <c r="Y27" s="352" t="s">
        <v>506</v>
      </c>
      <c r="Z27" s="353" t="s">
        <v>507</v>
      </c>
      <c r="AA27" s="354">
        <v>8000000</v>
      </c>
      <c r="AB27" s="352"/>
      <c r="AC27" s="355"/>
    </row>
    <row r="28" spans="1:29">
      <c r="A28" s="442" t="s">
        <v>494</v>
      </c>
      <c r="B28" s="326">
        <f>ROUND(B114*B76,0)</f>
        <v>500000</v>
      </c>
      <c r="C28" s="326">
        <f>ROUND(C114*C76,0)</f>
        <v>405000</v>
      </c>
      <c r="D28" s="326">
        <f>ROUND(D114*D76,0)</f>
        <v>700000</v>
      </c>
      <c r="E28" s="326">
        <f>ROUND(E114*E76,0)</f>
        <v>0</v>
      </c>
      <c r="F28" s="326">
        <f>ROUND(F114*F76,0)</f>
        <v>0</v>
      </c>
      <c r="G28" s="326">
        <f>ROUND(G114*G77,0)</f>
        <v>0</v>
      </c>
      <c r="H28" s="326">
        <f t="shared" ref="H28:O28" si="6">ROUND(H114*H76,0)</f>
        <v>5801250</v>
      </c>
      <c r="I28" s="326">
        <f t="shared" si="6"/>
        <v>0</v>
      </c>
      <c r="J28" s="326">
        <f t="shared" si="6"/>
        <v>3000000</v>
      </c>
      <c r="K28" s="326">
        <f t="shared" si="6"/>
        <v>800000</v>
      </c>
      <c r="L28" s="326">
        <f t="shared" si="6"/>
        <v>0</v>
      </c>
      <c r="M28" s="326">
        <f t="shared" si="6"/>
        <v>1000000</v>
      </c>
      <c r="N28" s="326">
        <f t="shared" si="6"/>
        <v>1000000</v>
      </c>
      <c r="O28" s="326">
        <f t="shared" si="6"/>
        <v>0</v>
      </c>
      <c r="P28" s="338">
        <f>SUM(B28:O28)</f>
        <v>13206250</v>
      </c>
      <c r="Q28" s="373" t="s">
        <v>523</v>
      </c>
      <c r="R28" s="373" t="s">
        <v>523</v>
      </c>
      <c r="S28" s="373"/>
      <c r="T28" s="373"/>
      <c r="U28" s="373"/>
      <c r="V28" s="350" t="s">
        <v>2</v>
      </c>
      <c r="W28" s="351">
        <v>91999906</v>
      </c>
      <c r="X28" s="352" t="s">
        <v>505</v>
      </c>
      <c r="Y28" s="352" t="s">
        <v>506</v>
      </c>
      <c r="Z28" s="353" t="s">
        <v>507</v>
      </c>
      <c r="AA28" s="354">
        <v>8000000</v>
      </c>
      <c r="AB28" s="352"/>
      <c r="AC28" s="355"/>
    </row>
    <row r="29" spans="1:29">
      <c r="A29" s="442" t="s">
        <v>566</v>
      </c>
      <c r="B29" s="326">
        <f>ROUND(B115*B76,0)</f>
        <v>1000000</v>
      </c>
      <c r="C29" s="326">
        <f>ROUND(C115*C76,0)</f>
        <v>810000</v>
      </c>
      <c r="D29" s="326">
        <f>ROUND(D115*D76,0)</f>
        <v>1400000</v>
      </c>
      <c r="E29" s="326">
        <f>ROUND(E115*E76,0)</f>
        <v>0</v>
      </c>
      <c r="F29" s="326">
        <f>ROUND(F115*F76,0)</f>
        <v>0</v>
      </c>
      <c r="G29" s="326">
        <f>ROUND(G115*G77,0)</f>
        <v>0</v>
      </c>
      <c r="H29" s="326">
        <f t="shared" ref="H29:O29" si="7">ROUND(H115*H76,0)</f>
        <v>11602500</v>
      </c>
      <c r="I29" s="326">
        <f t="shared" si="7"/>
        <v>0</v>
      </c>
      <c r="J29" s="326">
        <f t="shared" si="7"/>
        <v>6000000</v>
      </c>
      <c r="K29" s="326">
        <f t="shared" si="7"/>
        <v>1600000</v>
      </c>
      <c r="L29" s="326">
        <f t="shared" si="7"/>
        <v>0</v>
      </c>
      <c r="M29" s="326">
        <f t="shared" si="7"/>
        <v>1500000</v>
      </c>
      <c r="N29" s="326">
        <f t="shared" si="7"/>
        <v>1500000</v>
      </c>
      <c r="O29" s="326">
        <f t="shared" si="7"/>
        <v>0</v>
      </c>
      <c r="P29" s="338">
        <f>SUM(B29:O29)</f>
        <v>25412500</v>
      </c>
      <c r="Q29" s="373"/>
      <c r="R29" s="373"/>
      <c r="S29" s="373"/>
      <c r="T29" s="373"/>
      <c r="U29" s="373"/>
      <c r="V29" s="350" t="s">
        <v>2</v>
      </c>
      <c r="W29" s="351">
        <v>91999907</v>
      </c>
      <c r="X29" s="352" t="s">
        <v>505</v>
      </c>
      <c r="Y29" s="352" t="s">
        <v>506</v>
      </c>
      <c r="Z29" s="353" t="s">
        <v>535</v>
      </c>
      <c r="AA29" s="354">
        <v>7000000</v>
      </c>
      <c r="AB29" s="352"/>
      <c r="AC29" s="355"/>
    </row>
    <row r="30" spans="1:29">
      <c r="A30" s="436" t="s">
        <v>426</v>
      </c>
      <c r="B30" s="326"/>
      <c r="C30" s="326"/>
      <c r="D30" s="326"/>
      <c r="E30" s="334"/>
      <c r="F30" s="326"/>
      <c r="G30" s="326">
        <f>ROUND(G113*AC52,0)+ROUND(G113*AC53,0)</f>
        <v>23205000</v>
      </c>
      <c r="H30" s="326"/>
      <c r="I30" s="326"/>
      <c r="J30" s="326"/>
      <c r="K30" s="334"/>
      <c r="L30" s="334"/>
      <c r="M30" s="334"/>
      <c r="N30" s="334"/>
      <c r="O30" s="334"/>
      <c r="P30" s="338">
        <f>SUM(B30:O30)</f>
        <v>23205000</v>
      </c>
      <c r="Q30" s="373"/>
      <c r="R30" s="373"/>
      <c r="S30" s="373"/>
      <c r="T30" s="373"/>
      <c r="U30" s="373"/>
      <c r="V30" s="350" t="s">
        <v>2</v>
      </c>
      <c r="W30" s="351">
        <v>91999907</v>
      </c>
      <c r="X30" s="352" t="s">
        <v>596</v>
      </c>
      <c r="Y30" s="352" t="s">
        <v>506</v>
      </c>
      <c r="Z30" s="353">
        <v>7065</v>
      </c>
      <c r="AA30" s="354">
        <v>100</v>
      </c>
      <c r="AB30" s="438" t="s">
        <v>539</v>
      </c>
      <c r="AC30" s="439"/>
    </row>
    <row r="31" spans="1:29">
      <c r="A31" s="436"/>
      <c r="B31" s="326"/>
      <c r="C31" s="326"/>
      <c r="D31" s="326"/>
      <c r="E31" s="326"/>
      <c r="F31" s="326"/>
      <c r="G31" s="326"/>
      <c r="H31" s="326"/>
      <c r="I31" s="326"/>
      <c r="J31" s="326"/>
      <c r="K31" s="326"/>
      <c r="L31" s="326"/>
      <c r="M31" s="326"/>
      <c r="N31" s="326"/>
      <c r="O31" s="326"/>
      <c r="P31" s="338"/>
      <c r="Q31" s="373"/>
      <c r="R31" s="373" t="s">
        <v>591</v>
      </c>
      <c r="S31" s="373"/>
      <c r="T31" s="373"/>
      <c r="U31" s="373"/>
      <c r="V31" s="350" t="s">
        <v>2</v>
      </c>
      <c r="W31" s="351">
        <v>91999908</v>
      </c>
      <c r="X31" s="352" t="s">
        <v>505</v>
      </c>
      <c r="Y31" s="352" t="s">
        <v>506</v>
      </c>
      <c r="Z31" s="353">
        <v>7065</v>
      </c>
      <c r="AA31" s="354">
        <v>100</v>
      </c>
      <c r="AB31" s="438" t="s">
        <v>539</v>
      </c>
      <c r="AC31" s="439"/>
    </row>
    <row r="32" spans="1:29">
      <c r="A32" s="510" t="s">
        <v>569</v>
      </c>
      <c r="B32" s="326"/>
      <c r="C32" s="326"/>
      <c r="D32" s="326"/>
      <c r="E32" s="334"/>
      <c r="F32" s="326"/>
      <c r="G32" s="326"/>
      <c r="H32" s="326"/>
      <c r="I32" s="326"/>
      <c r="J32" s="326"/>
      <c r="K32" s="334"/>
      <c r="L32" s="334"/>
      <c r="M32" s="334"/>
      <c r="N32" s="334"/>
      <c r="O32" s="334"/>
      <c r="P32" s="338"/>
      <c r="Q32" s="373"/>
      <c r="R32" s="373"/>
      <c r="S32" s="373"/>
      <c r="T32" s="373"/>
      <c r="U32" s="373"/>
      <c r="V32" s="350" t="s">
        <v>2</v>
      </c>
      <c r="W32" s="351">
        <v>91999907</v>
      </c>
      <c r="X32" s="352" t="s">
        <v>596</v>
      </c>
      <c r="Y32" s="352" t="s">
        <v>506</v>
      </c>
      <c r="Z32" s="353">
        <v>7070</v>
      </c>
      <c r="AA32" s="354">
        <v>200</v>
      </c>
      <c r="AB32" s="438" t="s">
        <v>539</v>
      </c>
      <c r="AC32" s="439"/>
    </row>
    <row r="33" spans="1:29">
      <c r="A33" s="436" t="s">
        <v>532</v>
      </c>
      <c r="B33" s="326">
        <f>IF(OR(B21="A",B21="B"),ROUND(ROUND(2369796*B22*B18*IF(B20&lt;3,0,IF(B20&lt;6,50%,100%)),0)*B14/365,0),ROUND(ROUND(2466.55*$B$5,0)*B18*B14/365,0))</f>
        <v>201270</v>
      </c>
      <c r="C33" s="326">
        <f>IF(OR(C21="A",C21="B"),ROUND(ROUND(2369796*C22*C18*IF(C20&lt;3,0,IF(C20&lt;6,50%,100%)),0)*C14/365,0),ROUND(ROUND(2466.55*$B$5,0)*C18*C14/365,0))</f>
        <v>362287</v>
      </c>
      <c r="D33" s="326"/>
      <c r="E33" s="326">
        <f>IF(OR(E21="A",E21="B"),ROUND(ROUND(2369796*E22*E18*IF(E20&lt;3,0,IF(E20&lt;6,50%,100%)),0)*E14/365,0),ROUND(ROUND(2466.55*$B$5,0)*E18*E14/365,0))</f>
        <v>301906</v>
      </c>
      <c r="F33" s="326"/>
      <c r="G33" s="326"/>
      <c r="H33" s="561">
        <f>ROUND(ROUND(2466.55*$B$5/365*H18*H22,0)*H14,0)</f>
        <v>4861165</v>
      </c>
      <c r="I33" s="326"/>
      <c r="J33" s="326"/>
      <c r="K33" s="326"/>
      <c r="L33" s="326"/>
      <c r="M33" s="326"/>
      <c r="N33" s="326"/>
      <c r="O33" s="326"/>
      <c r="P33" s="339">
        <f>SUM(B33:O33)</f>
        <v>5726628</v>
      </c>
      <c r="Q33" s="373"/>
      <c r="R33" s="373"/>
      <c r="S33" s="373"/>
      <c r="T33" s="373"/>
      <c r="U33" s="373"/>
      <c r="V33" s="350" t="s">
        <v>2</v>
      </c>
      <c r="W33" s="351">
        <v>91999908</v>
      </c>
      <c r="X33" s="352" t="s">
        <v>505</v>
      </c>
      <c r="Y33" s="352" t="s">
        <v>506</v>
      </c>
      <c r="Z33" s="353">
        <v>7070</v>
      </c>
      <c r="AA33" s="354">
        <v>200</v>
      </c>
      <c r="AB33" s="438" t="s">
        <v>539</v>
      </c>
      <c r="AC33" s="439"/>
    </row>
    <row r="34" spans="1:29">
      <c r="A34" s="405"/>
      <c r="B34" s="325"/>
      <c r="C34" s="326"/>
      <c r="D34" s="326"/>
      <c r="E34" s="334"/>
      <c r="F34" s="362"/>
      <c r="G34" s="362"/>
      <c r="H34" s="362"/>
      <c r="I34" s="362"/>
      <c r="J34" s="362"/>
      <c r="K34" s="334"/>
      <c r="L34" s="334"/>
      <c r="M34" s="334"/>
      <c r="N34" s="334"/>
      <c r="O34" s="334"/>
      <c r="P34" s="338"/>
      <c r="Q34" s="373"/>
      <c r="R34" s="373"/>
      <c r="S34" s="373"/>
      <c r="T34" s="373"/>
      <c r="U34" s="373"/>
      <c r="V34" s="350" t="s">
        <v>2</v>
      </c>
      <c r="W34" s="351">
        <v>91999901</v>
      </c>
      <c r="X34" s="352" t="s">
        <v>505</v>
      </c>
      <c r="Y34" s="352" t="s">
        <v>506</v>
      </c>
      <c r="Z34" s="353">
        <v>9140</v>
      </c>
      <c r="AA34" s="354"/>
      <c r="AB34" s="438">
        <v>0.76</v>
      </c>
      <c r="AC34" s="439"/>
    </row>
    <row r="35" spans="1:29">
      <c r="A35" s="441" t="s">
        <v>61</v>
      </c>
      <c r="B35" s="359">
        <f t="shared" ref="B35:O35" si="8">SUM(B27:B31)</f>
        <v>6500000</v>
      </c>
      <c r="C35" s="360">
        <f t="shared" si="8"/>
        <v>5265000</v>
      </c>
      <c r="D35" s="360">
        <f t="shared" si="8"/>
        <v>9100000</v>
      </c>
      <c r="E35" s="360">
        <f t="shared" si="8"/>
        <v>9000000</v>
      </c>
      <c r="F35" s="360">
        <f t="shared" si="8"/>
        <v>11200000</v>
      </c>
      <c r="G35" s="360">
        <f t="shared" si="8"/>
        <v>71632825</v>
      </c>
      <c r="H35" s="360">
        <f t="shared" si="8"/>
        <v>68454750</v>
      </c>
      <c r="I35" s="360">
        <f t="shared" si="8"/>
        <v>62653500</v>
      </c>
      <c r="J35" s="360">
        <f t="shared" si="8"/>
        <v>39000000</v>
      </c>
      <c r="K35" s="360">
        <f t="shared" si="8"/>
        <v>10400000</v>
      </c>
      <c r="L35" s="360">
        <f t="shared" si="8"/>
        <v>90000000</v>
      </c>
      <c r="M35" s="360">
        <f t="shared" si="8"/>
        <v>7500000</v>
      </c>
      <c r="N35" s="360">
        <f t="shared" si="8"/>
        <v>9000000</v>
      </c>
      <c r="O35" s="659">
        <f t="shared" si="8"/>
        <v>6000000</v>
      </c>
      <c r="P35" s="338">
        <f>SUM(B35:O35)</f>
        <v>405706075</v>
      </c>
      <c r="Q35" s="373"/>
      <c r="R35" s="373"/>
      <c r="S35" s="373"/>
      <c r="T35" s="373"/>
      <c r="U35" s="373"/>
      <c r="V35" s="350" t="s">
        <v>2</v>
      </c>
      <c r="W35" s="351">
        <v>91999907</v>
      </c>
      <c r="X35" s="352" t="s">
        <v>505</v>
      </c>
      <c r="Y35" s="352" t="s">
        <v>506</v>
      </c>
      <c r="Z35" s="353">
        <v>9140</v>
      </c>
      <c r="AA35" s="354"/>
      <c r="AB35" s="438">
        <v>0.56000000000000005</v>
      </c>
      <c r="AC35" s="439"/>
    </row>
    <row r="36" spans="1:29">
      <c r="A36" s="411"/>
      <c r="B36" s="325"/>
      <c r="C36" s="326"/>
      <c r="D36" s="326"/>
      <c r="E36" s="334"/>
      <c r="F36" s="326"/>
      <c r="G36" s="326"/>
      <c r="H36" s="326"/>
      <c r="I36" s="326"/>
      <c r="J36" s="326"/>
      <c r="K36" s="334"/>
      <c r="L36" s="334"/>
      <c r="M36" s="334"/>
      <c r="N36" s="334"/>
      <c r="O36" s="334"/>
      <c r="P36" s="338"/>
      <c r="Q36" s="373"/>
      <c r="R36" s="373"/>
      <c r="S36" s="373"/>
      <c r="T36" s="373"/>
      <c r="U36" s="373"/>
      <c r="V36" s="350" t="s">
        <v>747</v>
      </c>
      <c r="W36" s="351">
        <v>91999905</v>
      </c>
      <c r="X36" s="352" t="s">
        <v>505</v>
      </c>
      <c r="Y36" s="352" t="s">
        <v>506</v>
      </c>
      <c r="Z36" s="353" t="s">
        <v>641</v>
      </c>
      <c r="AA36" s="354"/>
      <c r="AB36" s="438">
        <v>1</v>
      </c>
      <c r="AC36" s="439"/>
    </row>
    <row r="37" spans="1:29" ht="15.6">
      <c r="A37" s="412" t="s">
        <v>60</v>
      </c>
      <c r="B37" s="363"/>
      <c r="C37" s="356"/>
      <c r="D37" s="356"/>
      <c r="E37" s="364"/>
      <c r="F37" s="356"/>
      <c r="G37" s="356"/>
      <c r="H37" s="356"/>
      <c r="I37" s="356"/>
      <c r="J37" s="356"/>
      <c r="K37" s="364"/>
      <c r="L37" s="364"/>
      <c r="M37" s="364"/>
      <c r="N37" s="364"/>
      <c r="O37" s="364"/>
      <c r="P37" s="338"/>
      <c r="Q37" s="373"/>
      <c r="R37" s="373"/>
      <c r="S37" s="373"/>
      <c r="T37" s="373"/>
      <c r="U37" s="373"/>
      <c r="V37" s="32"/>
      <c r="W37" s="44"/>
      <c r="X37" s="13"/>
      <c r="Y37" s="13"/>
      <c r="Z37" s="13"/>
      <c r="AA37" s="13"/>
      <c r="AB37" s="13"/>
      <c r="AC37" s="18"/>
    </row>
    <row r="38" spans="1:29">
      <c r="A38" s="407" t="s">
        <v>55</v>
      </c>
      <c r="B38" s="363"/>
      <c r="C38" s="356"/>
      <c r="D38" s="356"/>
      <c r="E38" s="364"/>
      <c r="F38" s="356"/>
      <c r="G38" s="356"/>
      <c r="H38" s="356"/>
      <c r="I38" s="356"/>
      <c r="J38" s="356"/>
      <c r="K38" s="364"/>
      <c r="L38" s="364"/>
      <c r="M38" s="364"/>
      <c r="N38" s="364"/>
      <c r="O38" s="364"/>
      <c r="P38" s="338"/>
      <c r="Q38" s="373"/>
      <c r="R38" s="373"/>
      <c r="S38" s="373"/>
      <c r="T38" s="373"/>
      <c r="U38" s="373"/>
      <c r="V38" s="32"/>
      <c r="W38" s="44"/>
      <c r="X38" s="13"/>
      <c r="Y38" s="13"/>
      <c r="Z38" s="13"/>
      <c r="AA38" s="13"/>
      <c r="AB38" s="13"/>
      <c r="AC38" s="18"/>
    </row>
    <row r="39" spans="1:29">
      <c r="A39" s="417" t="s">
        <v>573</v>
      </c>
      <c r="B39" s="326">
        <f>ROUND(B86*'New Hire'!C54,0)</f>
        <v>520000</v>
      </c>
      <c r="C39" s="326">
        <f>ROUND(C86*'New Hire'!D54,0)</f>
        <v>421200</v>
      </c>
      <c r="D39" s="326">
        <f>ROUND(D86*'New Hire'!E54,0)</f>
        <v>0</v>
      </c>
      <c r="E39" s="326">
        <f>ROUND(E86*'New Hire'!F54,0)</f>
        <v>720000</v>
      </c>
      <c r="F39" s="326">
        <f>ROUND(F86*'New Hire'!G54,0)</f>
        <v>0</v>
      </c>
      <c r="G39" s="326">
        <f>ROUND(G86*'New Hire'!H54,0)</f>
        <v>0</v>
      </c>
      <c r="H39" s="326">
        <f>ROUND(H86*'New Hire'!I54,0)</f>
        <v>0</v>
      </c>
      <c r="I39" s="326">
        <f>ROUND(I86*'New Hire'!J54,0)</f>
        <v>0</v>
      </c>
      <c r="J39" s="326">
        <f>ROUND(J86*'New Hire'!K54,0)</f>
        <v>2224000</v>
      </c>
      <c r="K39" s="326">
        <f>ROUND(K86*'New Hire'!L54,0)</f>
        <v>0</v>
      </c>
      <c r="L39" s="326">
        <f>ROUND(L86*'New Hire'!M54,0)</f>
        <v>2224000</v>
      </c>
      <c r="M39" s="326">
        <f>ROUND(M86*'New Hire'!N54,0)</f>
        <v>0</v>
      </c>
      <c r="N39" s="326">
        <f>ROUND(N86*'New Hire'!O54,0)</f>
        <v>0</v>
      </c>
      <c r="O39" s="326">
        <f>ROUND(O86*'New Hire'!P54,0)</f>
        <v>0</v>
      </c>
      <c r="P39" s="338">
        <f t="shared" ref="P39:P46" si="9">SUM(B39:O39)</f>
        <v>6109200</v>
      </c>
      <c r="Q39" s="373"/>
      <c r="R39" s="373"/>
      <c r="S39" s="373"/>
      <c r="T39" s="373"/>
      <c r="U39" s="373"/>
      <c r="V39" s="32"/>
      <c r="W39" s="44"/>
      <c r="X39" s="13"/>
      <c r="Y39" s="13"/>
      <c r="Z39" s="13"/>
      <c r="AA39" s="13"/>
      <c r="AB39" s="13"/>
      <c r="AC39" s="18"/>
    </row>
    <row r="40" spans="1:29">
      <c r="A40" s="436" t="s">
        <v>574</v>
      </c>
      <c r="B40" s="326">
        <f>ROUND(MIN(B87,83600000)*'New Hire'!C57,0)</f>
        <v>65000</v>
      </c>
      <c r="C40" s="326">
        <f>ROUND(MIN(C87,83600000)*'New Hire'!D57,0)</f>
        <v>52650</v>
      </c>
      <c r="D40" s="326">
        <f>ROUND(MIN(D87,83600000)*'New Hire'!E57,0)</f>
        <v>91000</v>
      </c>
      <c r="E40" s="326">
        <f>ROUND(MIN(E87,83600000)*'New Hire'!F57,0)</f>
        <v>90000</v>
      </c>
      <c r="F40" s="326">
        <f>ROUND(MIN(F87,83600000)*'New Hire'!G57,0)</f>
        <v>0</v>
      </c>
      <c r="G40" s="326">
        <f>ROUND(MIN(G87,83600000)*'New Hire'!H57,0)</f>
        <v>0</v>
      </c>
      <c r="H40" s="326">
        <f>ROUND(MIN(H87,83600000)*'New Hire'!I57,0)</f>
        <v>0</v>
      </c>
      <c r="I40" s="326">
        <f>ROUND(MIN(I87,83600000)*'New Hire'!J57,0)</f>
        <v>0</v>
      </c>
      <c r="J40" s="326">
        <f>ROUND(MIN(J87,83600000)*'New Hire'!K57,0)</f>
        <v>390000</v>
      </c>
      <c r="K40" s="326">
        <f>ROUND(MIN(K87,83600000)*'New Hire'!L57,0)</f>
        <v>0</v>
      </c>
      <c r="L40" s="326">
        <f>ROUND(MIN(L87,83600000)*'New Hire'!M57,0)</f>
        <v>836000</v>
      </c>
      <c r="M40" s="326">
        <f>ROUND(MIN(M87,83600000)*'New Hire'!N57,0)</f>
        <v>0</v>
      </c>
      <c r="N40" s="326">
        <f>ROUND(MIN(N87,83600000)*'New Hire'!O57,0)</f>
        <v>0</v>
      </c>
      <c r="O40" s="326">
        <f>ROUND(MIN(O87,83600000)*'New Hire'!P57,0)</f>
        <v>0</v>
      </c>
      <c r="P40" s="338">
        <f t="shared" si="9"/>
        <v>1524650</v>
      </c>
      <c r="Q40" s="373"/>
      <c r="R40" s="373"/>
      <c r="S40" s="373"/>
      <c r="T40" s="373"/>
      <c r="U40" s="373"/>
      <c r="V40" s="32"/>
      <c r="W40" s="44"/>
      <c r="X40" s="13"/>
      <c r="Y40" s="13"/>
      <c r="Z40" s="13"/>
      <c r="AA40" s="13"/>
      <c r="AB40" s="13"/>
      <c r="AC40" s="18"/>
    </row>
    <row r="41" spans="1:29">
      <c r="A41" s="436" t="s">
        <v>575</v>
      </c>
      <c r="B41" s="326">
        <f>ROUND(B86*'New Hire'!C60,0)</f>
        <v>97500</v>
      </c>
      <c r="C41" s="326">
        <f>ROUND(C86*'New Hire'!D60,0)</f>
        <v>78975</v>
      </c>
      <c r="D41" s="326">
        <f>ROUND(D86*'New Hire'!E60,0)</f>
        <v>136500</v>
      </c>
      <c r="E41" s="326">
        <f>ROUND(E86*'New Hire'!F60,0)</f>
        <v>135000</v>
      </c>
      <c r="F41" s="326">
        <f>ROUND(F86*'New Hire'!G60,0)</f>
        <v>0</v>
      </c>
      <c r="G41" s="326">
        <f>ROUND(G86*'New Hire'!H60,0)</f>
        <v>417000</v>
      </c>
      <c r="H41" s="326">
        <f>ROUND(H86*'New Hire'!I60,0)</f>
        <v>417000</v>
      </c>
      <c r="I41" s="326">
        <f>ROUND(I86*'New Hire'!J60,0)</f>
        <v>417000</v>
      </c>
      <c r="J41" s="326">
        <f>ROUND(J86*'New Hire'!K60,0)</f>
        <v>417000</v>
      </c>
      <c r="K41" s="326">
        <f>ROUND(K86*'New Hire'!L60,0)</f>
        <v>0</v>
      </c>
      <c r="L41" s="326">
        <f>ROUND(L86*'New Hire'!M60,0)</f>
        <v>417000</v>
      </c>
      <c r="M41" s="326">
        <f>ROUND(M86*'New Hire'!N60,0)</f>
        <v>0</v>
      </c>
      <c r="N41" s="326">
        <f>ROUND(N86*'New Hire'!O60,0)</f>
        <v>0</v>
      </c>
      <c r="O41" s="326">
        <f>ROUND(O86*'New Hire'!P60,0)</f>
        <v>0</v>
      </c>
      <c r="P41" s="338">
        <f t="shared" si="9"/>
        <v>2532975</v>
      </c>
      <c r="Q41" s="373"/>
      <c r="R41" s="373"/>
      <c r="S41" s="373"/>
      <c r="T41" s="373"/>
      <c r="U41" s="373"/>
      <c r="V41" s="42"/>
      <c r="W41" s="43"/>
      <c r="X41" s="760" t="s">
        <v>90</v>
      </c>
      <c r="Y41" s="760"/>
      <c r="Z41" s="760"/>
      <c r="AA41" s="760"/>
      <c r="AB41" s="13"/>
      <c r="AC41" s="18"/>
    </row>
    <row r="42" spans="1:29">
      <c r="A42" s="405" t="s">
        <v>111</v>
      </c>
      <c r="B42" s="325">
        <f>B93</f>
        <v>0</v>
      </c>
      <c r="C42" s="326">
        <f>C93</f>
        <v>0</v>
      </c>
      <c r="D42" s="326">
        <f t="shared" ref="D42:O42" si="10">D93</f>
        <v>0</v>
      </c>
      <c r="E42" s="326">
        <f t="shared" si="10"/>
        <v>930191</v>
      </c>
      <c r="F42" s="326">
        <f t="shared" si="10"/>
        <v>1120000</v>
      </c>
      <c r="G42" s="326">
        <f t="shared" si="10"/>
        <v>12814748</v>
      </c>
      <c r="H42" s="326">
        <f t="shared" si="10"/>
        <v>14663183</v>
      </c>
      <c r="I42" s="326">
        <f t="shared" si="10"/>
        <v>12530700</v>
      </c>
      <c r="J42" s="326">
        <f t="shared" si="10"/>
        <v>3743800</v>
      </c>
      <c r="K42" s="326">
        <f t="shared" si="10"/>
        <v>70000</v>
      </c>
      <c r="L42" s="326">
        <f t="shared" si="10"/>
        <v>17406900</v>
      </c>
      <c r="M42" s="326">
        <f t="shared" si="10"/>
        <v>0</v>
      </c>
      <c r="N42" s="326">
        <f t="shared" si="10"/>
        <v>0</v>
      </c>
      <c r="O42" s="326">
        <f t="shared" si="10"/>
        <v>600000</v>
      </c>
      <c r="P42" s="338">
        <f t="shared" si="9"/>
        <v>63879522</v>
      </c>
      <c r="Q42" s="373"/>
      <c r="R42" s="373"/>
      <c r="S42" s="373"/>
      <c r="T42" s="373"/>
      <c r="U42" s="373"/>
      <c r="V42" s="24" t="s">
        <v>57</v>
      </c>
      <c r="W42" s="37" t="s">
        <v>67</v>
      </c>
      <c r="X42" s="37" t="s">
        <v>69</v>
      </c>
      <c r="Y42" s="37" t="s">
        <v>70</v>
      </c>
      <c r="Z42" s="37" t="s">
        <v>56</v>
      </c>
      <c r="AA42" s="37" t="s">
        <v>71</v>
      </c>
      <c r="AB42" s="37" t="s">
        <v>58</v>
      </c>
      <c r="AC42" s="38" t="s">
        <v>59</v>
      </c>
    </row>
    <row r="43" spans="1:29">
      <c r="A43" s="436" t="s">
        <v>512</v>
      </c>
      <c r="B43" s="326">
        <f t="shared" ref="B43:H43" si="11">B81-B57</f>
        <v>0</v>
      </c>
      <c r="C43" s="326">
        <f t="shared" si="11"/>
        <v>0</v>
      </c>
      <c r="D43" s="326">
        <f t="shared" si="11"/>
        <v>0</v>
      </c>
      <c r="E43" s="326">
        <f t="shared" si="11"/>
        <v>0</v>
      </c>
      <c r="F43" s="326">
        <f t="shared" si="11"/>
        <v>0</v>
      </c>
      <c r="G43" s="326">
        <f t="shared" si="11"/>
        <v>0</v>
      </c>
      <c r="H43" s="326">
        <f t="shared" si="11"/>
        <v>339726</v>
      </c>
      <c r="I43" s="326"/>
      <c r="J43" s="326"/>
      <c r="K43" s="326"/>
      <c r="L43" s="326"/>
      <c r="M43" s="326"/>
      <c r="N43" s="326"/>
      <c r="O43" s="326"/>
      <c r="P43" s="338">
        <f t="shared" si="9"/>
        <v>339726</v>
      </c>
      <c r="Q43" s="373"/>
      <c r="R43" s="373"/>
      <c r="S43" s="341"/>
      <c r="T43" s="341"/>
      <c r="U43" s="341"/>
      <c r="V43" s="49" t="s">
        <v>1165</v>
      </c>
      <c r="W43" s="39">
        <v>91999912</v>
      </c>
      <c r="X43" s="80" t="s">
        <v>1166</v>
      </c>
      <c r="Y43" s="80" t="s">
        <v>1167</v>
      </c>
      <c r="Z43" s="60">
        <v>1000</v>
      </c>
      <c r="AA43" s="326">
        <v>6000000</v>
      </c>
      <c r="AB43" s="80"/>
      <c r="AC43" s="11"/>
    </row>
    <row r="44" spans="1:29">
      <c r="A44" s="436" t="s">
        <v>533</v>
      </c>
      <c r="B44" s="326"/>
      <c r="C44" s="326">
        <f>IF(OR(C21="A",C21="B"),ROUND(2369796*C22*C18/365,0),ROUND(2466.55*$B$5*C22*C18/365,0))-C33</f>
        <v>40254</v>
      </c>
      <c r="D44" s="326"/>
      <c r="E44" s="326">
        <f>IF(OR(E21="A",E21="B"),ROUND(2369796*E22*E18/365,0),ROUND(2466.55*$B$5*E22*E18/365,0))-E33</f>
        <v>301905</v>
      </c>
      <c r="F44" s="326"/>
      <c r="G44" s="326"/>
      <c r="H44" s="561">
        <f>IF(OR(H21="A",H21="B"),ROUND(2369796*H22*H18/365,0),ROUND(2466.55*$B$5*H22*H18/365,0))-H33</f>
        <v>4861164</v>
      </c>
      <c r="I44" s="326"/>
      <c r="J44" s="326"/>
      <c r="K44" s="326"/>
      <c r="L44" s="326"/>
      <c r="M44" s="326"/>
      <c r="N44" s="326"/>
      <c r="O44" s="326"/>
      <c r="P44" s="339">
        <f t="shared" si="9"/>
        <v>5203323</v>
      </c>
      <c r="Q44" s="341"/>
      <c r="R44" s="341"/>
      <c r="S44" s="341"/>
      <c r="T44" s="341"/>
      <c r="U44" s="341"/>
      <c r="V44" s="49" t="s">
        <v>1152</v>
      </c>
      <c r="W44" s="39">
        <v>91999906</v>
      </c>
      <c r="X44" s="80" t="s">
        <v>1328</v>
      </c>
      <c r="Y44" s="80" t="s">
        <v>1154</v>
      </c>
      <c r="Z44" s="60">
        <v>1000</v>
      </c>
      <c r="AA44" s="326">
        <v>3500</v>
      </c>
      <c r="AB44" s="80" t="s">
        <v>1330</v>
      </c>
      <c r="AC44" s="11"/>
    </row>
    <row r="45" spans="1:29">
      <c r="A45" s="436" t="s">
        <v>536</v>
      </c>
      <c r="B45" s="326"/>
      <c r="C45" s="326"/>
      <c r="D45" s="326"/>
      <c r="E45" s="326"/>
      <c r="F45" s="326"/>
      <c r="G45" s="326"/>
      <c r="H45" s="326">
        <f>H82</f>
        <v>594521</v>
      </c>
      <c r="I45" s="326"/>
      <c r="J45" s="326"/>
      <c r="K45" s="326"/>
      <c r="L45" s="326"/>
      <c r="M45" s="326"/>
      <c r="N45" s="326"/>
      <c r="O45" s="326"/>
      <c r="P45" s="338">
        <f t="shared" si="9"/>
        <v>594521</v>
      </c>
      <c r="Q45" s="373"/>
      <c r="R45" s="373"/>
      <c r="S45" s="373"/>
      <c r="T45" s="373"/>
      <c r="U45" s="373"/>
      <c r="V45" s="49" t="s">
        <v>1332</v>
      </c>
      <c r="W45" s="39">
        <v>91999906</v>
      </c>
      <c r="X45" s="80" t="s">
        <v>1328</v>
      </c>
      <c r="Y45" s="80" t="s">
        <v>1154</v>
      </c>
      <c r="Z45" s="60">
        <v>7065</v>
      </c>
      <c r="AA45" s="326">
        <v>100</v>
      </c>
      <c r="AB45" s="80" t="s">
        <v>1329</v>
      </c>
      <c r="AC45" s="11"/>
    </row>
    <row r="46" spans="1:29">
      <c r="A46" s="436" t="s">
        <v>537</v>
      </c>
      <c r="B46" s="326"/>
      <c r="C46" s="326"/>
      <c r="D46" s="326"/>
      <c r="E46" s="326"/>
      <c r="F46" s="326"/>
      <c r="G46" s="326"/>
      <c r="H46" s="561">
        <f>ROUND(ROUND(297.1*$B$5,0)*H22*H18/365,0)</f>
        <v>1171071</v>
      </c>
      <c r="I46" s="326"/>
      <c r="J46" s="326"/>
      <c r="K46" s="326"/>
      <c r="L46" s="326"/>
      <c r="M46" s="326"/>
      <c r="N46" s="326"/>
      <c r="O46" s="326"/>
      <c r="P46" s="339">
        <f t="shared" si="9"/>
        <v>1171071</v>
      </c>
      <c r="Q46" s="373"/>
      <c r="R46" s="373"/>
      <c r="S46" s="373"/>
      <c r="T46" s="373"/>
      <c r="U46" s="373"/>
      <c r="V46" s="49" t="s">
        <v>1332</v>
      </c>
      <c r="W46" s="39">
        <v>91999906</v>
      </c>
      <c r="X46" s="80" t="s">
        <v>1328</v>
      </c>
      <c r="Y46" s="80" t="s">
        <v>1154</v>
      </c>
      <c r="Z46" s="60">
        <v>7070</v>
      </c>
      <c r="AA46" s="326">
        <v>200</v>
      </c>
      <c r="AB46" s="80" t="s">
        <v>1329</v>
      </c>
      <c r="AC46" s="11"/>
    </row>
    <row r="47" spans="1:29">
      <c r="A47" s="405"/>
      <c r="B47" s="365"/>
      <c r="C47" s="366"/>
      <c r="D47" s="366"/>
      <c r="E47" s="367"/>
      <c r="F47" s="366"/>
      <c r="G47" s="366"/>
      <c r="H47" s="366"/>
      <c r="I47" s="366"/>
      <c r="J47" s="366"/>
      <c r="K47" s="367"/>
      <c r="L47" s="367"/>
      <c r="M47" s="367"/>
      <c r="N47" s="367"/>
      <c r="O47" s="367"/>
      <c r="P47" s="338"/>
      <c r="Q47" s="373"/>
      <c r="R47" s="373"/>
      <c r="S47" s="373"/>
      <c r="T47" s="373"/>
      <c r="U47" s="373"/>
      <c r="V47" s="49" t="s">
        <v>0</v>
      </c>
      <c r="W47" s="39"/>
      <c r="X47" s="80"/>
      <c r="Y47" s="80"/>
      <c r="Z47" s="60"/>
      <c r="AA47" s="326"/>
      <c r="AB47" s="80"/>
      <c r="AC47" s="11"/>
    </row>
    <row r="48" spans="1:29">
      <c r="A48" s="413" t="s">
        <v>4</v>
      </c>
      <c r="B48" s="359">
        <f t="shared" ref="B48:O48" si="12">SUM(B39:B47)</f>
        <v>682500</v>
      </c>
      <c r="C48" s="360">
        <f t="shared" si="12"/>
        <v>593079</v>
      </c>
      <c r="D48" s="360">
        <f t="shared" si="12"/>
        <v>227500</v>
      </c>
      <c r="E48" s="360">
        <f t="shared" si="12"/>
        <v>2177096</v>
      </c>
      <c r="F48" s="360">
        <f t="shared" si="12"/>
        <v>1120000</v>
      </c>
      <c r="G48" s="360">
        <f t="shared" si="12"/>
        <v>13231748</v>
      </c>
      <c r="H48" s="360">
        <f t="shared" si="12"/>
        <v>22046665</v>
      </c>
      <c r="I48" s="360">
        <f t="shared" si="12"/>
        <v>12947700</v>
      </c>
      <c r="J48" s="360">
        <f t="shared" si="12"/>
        <v>6774800</v>
      </c>
      <c r="K48" s="360">
        <f t="shared" si="12"/>
        <v>70000</v>
      </c>
      <c r="L48" s="360">
        <f t="shared" si="12"/>
        <v>20883900</v>
      </c>
      <c r="M48" s="360">
        <f t="shared" si="12"/>
        <v>0</v>
      </c>
      <c r="N48" s="360">
        <f t="shared" si="12"/>
        <v>0</v>
      </c>
      <c r="O48" s="659">
        <f t="shared" si="12"/>
        <v>600000</v>
      </c>
      <c r="P48" s="338">
        <f>SUM(B48:O48)</f>
        <v>81354988</v>
      </c>
      <c r="Q48" s="373"/>
      <c r="R48" s="373"/>
      <c r="S48" s="373"/>
      <c r="T48" s="373"/>
      <c r="U48" s="373"/>
      <c r="V48" s="32"/>
      <c r="W48" s="44"/>
      <c r="X48" s="13"/>
      <c r="Y48" s="13"/>
      <c r="Z48" s="13"/>
      <c r="AA48" s="356"/>
      <c r="AB48" s="13"/>
      <c r="AC48" s="18"/>
    </row>
    <row r="49" spans="1:29">
      <c r="A49" s="414"/>
      <c r="B49" s="325"/>
      <c r="C49" s="326"/>
      <c r="D49" s="326"/>
      <c r="E49" s="334"/>
      <c r="F49" s="326"/>
      <c r="G49" s="326"/>
      <c r="H49" s="326"/>
      <c r="I49" s="326"/>
      <c r="J49" s="326"/>
      <c r="K49" s="334"/>
      <c r="L49" s="334"/>
      <c r="M49" s="334"/>
      <c r="N49" s="334"/>
      <c r="O49" s="334"/>
      <c r="P49" s="338"/>
      <c r="Q49" s="341"/>
      <c r="R49" s="341"/>
      <c r="S49" s="341"/>
      <c r="T49" s="341"/>
      <c r="U49" s="341"/>
      <c r="V49" s="32"/>
      <c r="W49" s="44"/>
      <c r="X49" s="13"/>
      <c r="Y49" s="13"/>
      <c r="Z49" s="13"/>
      <c r="AA49" s="356"/>
      <c r="AB49" s="13"/>
      <c r="AC49" s="18"/>
    </row>
    <row r="50" spans="1:29" ht="14.4" thickBot="1">
      <c r="A50" s="410" t="s">
        <v>5</v>
      </c>
      <c r="B50" s="327">
        <f t="shared" ref="B50:O50" si="13">B35-B48</f>
        <v>5817500</v>
      </c>
      <c r="C50" s="328">
        <f t="shared" si="13"/>
        <v>4671921</v>
      </c>
      <c r="D50" s="328">
        <f t="shared" si="13"/>
        <v>8872500</v>
      </c>
      <c r="E50" s="328">
        <f t="shared" si="13"/>
        <v>6822904</v>
      </c>
      <c r="F50" s="328">
        <f t="shared" si="13"/>
        <v>10080000</v>
      </c>
      <c r="G50" s="328">
        <f t="shared" si="13"/>
        <v>58401077</v>
      </c>
      <c r="H50" s="328">
        <f t="shared" si="13"/>
        <v>46408085</v>
      </c>
      <c r="I50" s="328">
        <f t="shared" si="13"/>
        <v>49705800</v>
      </c>
      <c r="J50" s="328">
        <f t="shared" si="13"/>
        <v>32225200</v>
      </c>
      <c r="K50" s="328">
        <f t="shared" si="13"/>
        <v>10330000</v>
      </c>
      <c r="L50" s="328">
        <f t="shared" si="13"/>
        <v>69116100</v>
      </c>
      <c r="M50" s="328">
        <f t="shared" si="13"/>
        <v>7500000</v>
      </c>
      <c r="N50" s="328">
        <f t="shared" si="13"/>
        <v>9000000</v>
      </c>
      <c r="O50" s="328">
        <f t="shared" si="13"/>
        <v>5400000</v>
      </c>
      <c r="P50" s="338">
        <f>SUM(B50:O50)</f>
        <v>324351087</v>
      </c>
      <c r="Q50" s="373"/>
      <c r="R50" s="373"/>
      <c r="S50" s="373"/>
      <c r="T50" s="373"/>
      <c r="U50" s="373"/>
      <c r="V50" s="42"/>
      <c r="W50" s="43"/>
      <c r="X50" s="13"/>
      <c r="Y50" s="13"/>
      <c r="Z50" s="61"/>
      <c r="AA50" s="356"/>
      <c r="AB50" s="13"/>
      <c r="AC50" s="18"/>
    </row>
    <row r="51" spans="1:29" ht="14.4" thickTop="1">
      <c r="A51" s="415"/>
      <c r="B51" s="325"/>
      <c r="C51" s="326"/>
      <c r="D51" s="326"/>
      <c r="E51" s="334"/>
      <c r="F51" s="326"/>
      <c r="G51" s="326"/>
      <c r="H51" s="326"/>
      <c r="I51" s="326"/>
      <c r="J51" s="326"/>
      <c r="K51" s="334"/>
      <c r="L51" s="334"/>
      <c r="M51" s="334"/>
      <c r="N51" s="334"/>
      <c r="O51" s="334"/>
      <c r="P51" s="338"/>
      <c r="Q51" s="373"/>
      <c r="R51" s="373"/>
      <c r="S51" s="373"/>
      <c r="T51" s="373"/>
      <c r="U51" s="373"/>
      <c r="V51" s="24" t="s">
        <v>57</v>
      </c>
      <c r="W51" s="37" t="s">
        <v>67</v>
      </c>
      <c r="X51" s="37" t="s">
        <v>69</v>
      </c>
      <c r="Y51" s="37" t="s">
        <v>70</v>
      </c>
      <c r="Z51" s="62" t="s">
        <v>424</v>
      </c>
      <c r="AA51" s="357" t="s">
        <v>425</v>
      </c>
      <c r="AB51" s="37" t="s">
        <v>56</v>
      </c>
      <c r="AC51" s="38"/>
    </row>
    <row r="52" spans="1:29" ht="15.6">
      <c r="A52" s="404" t="s">
        <v>62</v>
      </c>
      <c r="B52" s="368"/>
      <c r="C52" s="399"/>
      <c r="D52" s="399"/>
      <c r="E52" s="364"/>
      <c r="F52" s="399"/>
      <c r="G52" s="399"/>
      <c r="H52" s="400"/>
      <c r="I52" s="399"/>
      <c r="J52" s="399"/>
      <c r="K52" s="364"/>
      <c r="L52" s="364"/>
      <c r="M52" s="364"/>
      <c r="N52" s="364"/>
      <c r="O52" s="364"/>
      <c r="P52" s="660"/>
      <c r="Q52" s="373"/>
      <c r="R52" s="373"/>
      <c r="S52" s="373"/>
      <c r="T52" s="373"/>
      <c r="U52" s="373"/>
      <c r="V52" s="49" t="s">
        <v>423</v>
      </c>
      <c r="W52" s="347">
        <v>91999906</v>
      </c>
      <c r="X52" s="283" t="s">
        <v>689</v>
      </c>
      <c r="Y52" s="283" t="s">
        <v>689</v>
      </c>
      <c r="Z52" s="286">
        <v>0.375</v>
      </c>
      <c r="AA52" s="286">
        <v>0.47916666666666669</v>
      </c>
      <c r="AB52" s="284">
        <v>9180</v>
      </c>
      <c r="AC52" s="467">
        <v>2.5</v>
      </c>
    </row>
    <row r="53" spans="1:29">
      <c r="A53" s="417" t="s">
        <v>570</v>
      </c>
      <c r="B53" s="326">
        <f>ROUND(B86*'New Hire'!C55,0)</f>
        <v>1105000</v>
      </c>
      <c r="C53" s="326">
        <f>ROUND(MIN(C86,29800000)*'New Hire'!D55,0)</f>
        <v>921375</v>
      </c>
      <c r="D53" s="326">
        <f>ROUND(MIN(D86,29800000)*'New Hire'!E55,0)</f>
        <v>45500</v>
      </c>
      <c r="E53" s="326">
        <f>ROUND(MIN(E86,29800000)*'New Hire'!F55,0)</f>
        <v>1530000</v>
      </c>
      <c r="F53" s="326">
        <f>ROUND(MIN(F86,29800000)*'New Hire'!G55,0)</f>
        <v>0</v>
      </c>
      <c r="G53" s="326">
        <f>ROUND(MIN(G86,29800000)*'New Hire'!H55,0)</f>
        <v>973000</v>
      </c>
      <c r="H53" s="326">
        <f>ROUND(MIN(H86,29800000)*'New Hire'!I55,0)</f>
        <v>834000</v>
      </c>
      <c r="I53" s="326">
        <f>ROUND(MIN(I86,29800000)*'New Hire'!J55,0)</f>
        <v>139000</v>
      </c>
      <c r="J53" s="326">
        <f>ROUND(MIN(J86,29800000)*'New Hire'!K55,0)</f>
        <v>4726000</v>
      </c>
      <c r="K53" s="326">
        <f>ROUND(MIN(K86,29800000)*'New Hire'!L55,0)</f>
        <v>0</v>
      </c>
      <c r="L53" s="326">
        <f>ROUND(MIN(L86,29800000)*'New Hire'!M55,0)</f>
        <v>4726000</v>
      </c>
      <c r="M53" s="326">
        <f>ROUND(MIN(M86,29800000)*'New Hire'!N55,0)</f>
        <v>0</v>
      </c>
      <c r="N53" s="326">
        <f>ROUND(MIN(N86,29800000)*'New Hire'!O55,0)</f>
        <v>0</v>
      </c>
      <c r="O53" s="326">
        <f>ROUND(MIN(O86,29800000)*'New Hire'!P55,0)</f>
        <v>0</v>
      </c>
      <c r="P53" s="339">
        <f>SUM(B53:O53)</f>
        <v>14999875</v>
      </c>
      <c r="Q53" s="373"/>
      <c r="R53" s="373"/>
      <c r="S53" s="373"/>
      <c r="T53" s="373"/>
      <c r="U53" s="373"/>
      <c r="V53" s="49" t="s">
        <v>423</v>
      </c>
      <c r="W53" s="347">
        <v>91999906</v>
      </c>
      <c r="X53" s="283" t="s">
        <v>1170</v>
      </c>
      <c r="Y53" s="283" t="s">
        <v>1170</v>
      </c>
      <c r="Z53" s="286">
        <v>0.375</v>
      </c>
      <c r="AA53" s="286">
        <v>0.47916666666666669</v>
      </c>
      <c r="AB53" s="284">
        <v>9180</v>
      </c>
      <c r="AC53" s="467">
        <v>2.5</v>
      </c>
    </row>
    <row r="54" spans="1:29">
      <c r="A54" s="436" t="s">
        <v>571</v>
      </c>
      <c r="B54" s="326">
        <f>ROUND(MIN(B87,83600000)*'New Hire'!C58,0)</f>
        <v>65000</v>
      </c>
      <c r="C54" s="326">
        <f>ROUND(MIN(C87,83600000)*'New Hire'!D58,0)</f>
        <v>52650</v>
      </c>
      <c r="D54" s="326">
        <f>ROUND(MIN(D87,83600000)*'New Hire'!E58,0)</f>
        <v>91000</v>
      </c>
      <c r="E54" s="326">
        <f>ROUND(MIN(E87,83600000)*'New Hire'!F58,0)</f>
        <v>90000</v>
      </c>
      <c r="F54" s="326">
        <f>ROUND(MIN(F87,83600000)*'New Hire'!G58,0)</f>
        <v>0</v>
      </c>
      <c r="G54" s="326">
        <f>ROUND(MIN(G87,83600000)*'New Hire'!H58,0)</f>
        <v>0</v>
      </c>
      <c r="H54" s="326">
        <f>ROUND(MIN(H87,83600000)*'New Hire'!I58,0)</f>
        <v>0</v>
      </c>
      <c r="I54" s="326">
        <f>ROUND(MIN(I87,83600000)*'New Hire'!J58,0)</f>
        <v>0</v>
      </c>
      <c r="J54" s="326">
        <f>ROUND(MIN(J87,83600000)*'New Hire'!K58,0)</f>
        <v>390000</v>
      </c>
      <c r="K54" s="326">
        <f>ROUND(MIN(K87,83600000)*'New Hire'!L58,0)</f>
        <v>0</v>
      </c>
      <c r="L54" s="326">
        <f>ROUND(MIN(L87,83600000)*'New Hire'!M58,0)</f>
        <v>836000</v>
      </c>
      <c r="M54" s="326">
        <f>ROUND(MIN(M87,83600000)*'New Hire'!N58,0)</f>
        <v>0</v>
      </c>
      <c r="N54" s="326">
        <f>ROUND(MIN(N87,83600000)*'New Hire'!O58,0)</f>
        <v>0</v>
      </c>
      <c r="O54" s="326">
        <f>ROUND(MIN(O87,83600000)*'New Hire'!P58,0)</f>
        <v>0</v>
      </c>
      <c r="P54" s="339">
        <f>SUM(B54:O54)</f>
        <v>1524650</v>
      </c>
      <c r="Q54" s="373"/>
      <c r="R54" s="373"/>
      <c r="S54" s="373"/>
      <c r="T54" s="373"/>
      <c r="U54" s="373"/>
      <c r="V54" s="49" t="s">
        <v>422</v>
      </c>
      <c r="W54" s="347"/>
      <c r="X54" s="283"/>
      <c r="Y54" s="283"/>
      <c r="Z54" s="286"/>
      <c r="AA54" s="286"/>
      <c r="AB54" s="284"/>
      <c r="AC54" s="467"/>
    </row>
    <row r="55" spans="1:29">
      <c r="A55" s="436" t="s">
        <v>572</v>
      </c>
      <c r="B55" s="326">
        <f>ROUND(B86*'New Hire'!C61,0)</f>
        <v>195000</v>
      </c>
      <c r="C55" s="326">
        <f>ROUND(C86*'New Hire'!D61,0)</f>
        <v>157950</v>
      </c>
      <c r="D55" s="326">
        <f>ROUND(D86*'New Hire'!E61,0)</f>
        <v>273000</v>
      </c>
      <c r="E55" s="326">
        <f>ROUND(E86*'New Hire'!F61,0)</f>
        <v>270000</v>
      </c>
      <c r="F55" s="326">
        <f>ROUND(F86*'New Hire'!G61,0)</f>
        <v>0</v>
      </c>
      <c r="G55" s="326">
        <f>ROUND(G86*'New Hire'!H61,0)</f>
        <v>834000</v>
      </c>
      <c r="H55" s="326">
        <f>ROUND(H86*'New Hire'!I61,0)</f>
        <v>834000</v>
      </c>
      <c r="I55" s="326">
        <f>ROUND(I86*'New Hire'!J61,0)</f>
        <v>834000</v>
      </c>
      <c r="J55" s="326">
        <f>ROUND(J86*'New Hire'!K61,0)</f>
        <v>834000</v>
      </c>
      <c r="K55" s="326">
        <f>ROUND(K86*'New Hire'!L61,0)</f>
        <v>0</v>
      </c>
      <c r="L55" s="326">
        <f>ROUND(L86*'New Hire'!M61,0)</f>
        <v>834000</v>
      </c>
      <c r="M55" s="326">
        <f>ROUND(M86*'New Hire'!N61,0)</f>
        <v>0</v>
      </c>
      <c r="N55" s="326">
        <f>ROUND(N86*'New Hire'!O61,0)</f>
        <v>0</v>
      </c>
      <c r="O55" s="326">
        <f>ROUND(O86*'New Hire'!P61,0)</f>
        <v>0</v>
      </c>
      <c r="P55" s="339">
        <f>SUM(B55:O55)</f>
        <v>5065950</v>
      </c>
      <c r="Q55" s="373"/>
      <c r="R55" s="373"/>
      <c r="S55" s="373"/>
      <c r="T55" s="373"/>
      <c r="U55" s="373"/>
      <c r="V55" s="49" t="s">
        <v>422</v>
      </c>
      <c r="W55" s="347"/>
      <c r="X55" s="283"/>
      <c r="Y55" s="283"/>
      <c r="Z55" s="286"/>
      <c r="AA55" s="286"/>
      <c r="AB55" s="284"/>
      <c r="AC55" s="467"/>
    </row>
    <row r="56" spans="1:29">
      <c r="A56" s="405" t="s">
        <v>1071</v>
      </c>
      <c r="B56" s="326">
        <f t="shared" ref="B56:O56" si="14">IF(B39+B53=0,0,ROUND(MIN(B86,29800000)*2%,0))</f>
        <v>130000</v>
      </c>
      <c r="C56" s="326">
        <f t="shared" si="14"/>
        <v>105300</v>
      </c>
      <c r="D56" s="326">
        <f t="shared" si="14"/>
        <v>182000</v>
      </c>
      <c r="E56" s="326">
        <f t="shared" si="14"/>
        <v>180000</v>
      </c>
      <c r="F56" s="326">
        <f t="shared" si="14"/>
        <v>0</v>
      </c>
      <c r="G56" s="326">
        <f t="shared" si="14"/>
        <v>556000</v>
      </c>
      <c r="H56" s="326">
        <f t="shared" si="14"/>
        <v>556000</v>
      </c>
      <c r="I56" s="326">
        <f t="shared" si="14"/>
        <v>556000</v>
      </c>
      <c r="J56" s="326">
        <f t="shared" si="14"/>
        <v>556000</v>
      </c>
      <c r="K56" s="326">
        <f t="shared" si="14"/>
        <v>0</v>
      </c>
      <c r="L56" s="326">
        <f t="shared" si="14"/>
        <v>556000</v>
      </c>
      <c r="M56" s="326">
        <f t="shared" si="14"/>
        <v>0</v>
      </c>
      <c r="N56" s="326">
        <f t="shared" si="14"/>
        <v>0</v>
      </c>
      <c r="O56" s="326">
        <f t="shared" si="14"/>
        <v>0</v>
      </c>
      <c r="P56" s="339">
        <f>SUM(B56:O56)</f>
        <v>3377300</v>
      </c>
      <c r="Q56" s="373"/>
      <c r="R56" s="373"/>
      <c r="S56" s="373"/>
      <c r="T56" s="373"/>
      <c r="U56" s="373"/>
      <c r="V56" s="49" t="s">
        <v>422</v>
      </c>
      <c r="W56" s="347"/>
      <c r="X56" s="283"/>
      <c r="Y56" s="283"/>
      <c r="Z56" s="286"/>
      <c r="AA56" s="286"/>
      <c r="AB56" s="284"/>
      <c r="AC56" s="467"/>
    </row>
    <row r="57" spans="1:29">
      <c r="A57" s="436" t="s">
        <v>510</v>
      </c>
      <c r="B57" s="326">
        <f t="shared" ref="B57:H57" si="15">IF(OR(B21="A",B21="B"),B81,ROUND(B81*B14,0))</f>
        <v>679452</v>
      </c>
      <c r="C57" s="326">
        <f t="shared" si="15"/>
        <v>679452</v>
      </c>
      <c r="D57" s="326">
        <f t="shared" si="15"/>
        <v>0</v>
      </c>
      <c r="E57" s="326">
        <f t="shared" si="15"/>
        <v>679452</v>
      </c>
      <c r="F57" s="326">
        <f t="shared" si="15"/>
        <v>679452</v>
      </c>
      <c r="G57" s="326">
        <f t="shared" si="15"/>
        <v>0</v>
      </c>
      <c r="H57" s="326">
        <f t="shared" si="15"/>
        <v>339726</v>
      </c>
      <c r="I57" s="326"/>
      <c r="J57" s="326"/>
      <c r="K57" s="326"/>
      <c r="L57" s="326"/>
      <c r="M57" s="326"/>
      <c r="N57" s="326"/>
      <c r="O57" s="326"/>
      <c r="P57" s="339">
        <f>SUM(B57:O57)</f>
        <v>3057534</v>
      </c>
      <c r="Q57" s="373"/>
      <c r="R57" s="373"/>
      <c r="S57" s="373"/>
      <c r="T57" s="373"/>
      <c r="U57" s="373"/>
      <c r="V57" s="49" t="s">
        <v>422</v>
      </c>
      <c r="W57" s="347"/>
      <c r="X57" s="348"/>
      <c r="Y57" s="348"/>
      <c r="Z57" s="286"/>
      <c r="AA57" s="286"/>
      <c r="AB57" s="284"/>
      <c r="AC57" s="467"/>
    </row>
    <row r="58" spans="1:29">
      <c r="A58" s="405"/>
      <c r="B58" s="325"/>
      <c r="C58" s="326"/>
      <c r="D58" s="326"/>
      <c r="E58" s="334"/>
      <c r="F58" s="326"/>
      <c r="G58" s="326"/>
      <c r="H58" s="326"/>
      <c r="I58" s="326"/>
      <c r="J58" s="326"/>
      <c r="K58" s="334"/>
      <c r="L58" s="334"/>
      <c r="M58" s="334"/>
      <c r="N58" s="334"/>
      <c r="O58" s="334"/>
      <c r="P58" s="339"/>
      <c r="Q58" s="373"/>
      <c r="R58" s="373"/>
      <c r="S58" s="373"/>
      <c r="T58" s="373"/>
      <c r="U58" s="373"/>
      <c r="V58" s="49" t="s">
        <v>422</v>
      </c>
      <c r="W58" s="39"/>
      <c r="X58" s="7"/>
      <c r="Y58" s="7"/>
      <c r="Z58" s="286"/>
      <c r="AA58" s="286"/>
      <c r="AB58" s="284"/>
      <c r="AC58" s="467"/>
    </row>
    <row r="59" spans="1:29" ht="15.6">
      <c r="A59" s="404" t="s">
        <v>474</v>
      </c>
      <c r="B59" s="325"/>
      <c r="C59" s="326"/>
      <c r="D59" s="326"/>
      <c r="E59" s="334"/>
      <c r="F59" s="326"/>
      <c r="G59" s="326"/>
      <c r="H59" s="326"/>
      <c r="I59" s="326"/>
      <c r="J59" s="326"/>
      <c r="K59" s="334"/>
      <c r="L59" s="334"/>
      <c r="M59" s="334"/>
      <c r="N59" s="334"/>
      <c r="O59" s="334"/>
      <c r="P59" s="339"/>
      <c r="Q59" s="373"/>
      <c r="R59" s="373"/>
      <c r="S59" s="373"/>
      <c r="T59" s="373"/>
      <c r="U59" s="373"/>
      <c r="V59" s="49" t="s">
        <v>422</v>
      </c>
      <c r="W59" s="39"/>
      <c r="X59" s="7"/>
      <c r="Y59" s="7"/>
      <c r="Z59" s="286"/>
      <c r="AA59" s="286"/>
      <c r="AB59" s="284"/>
      <c r="AC59" s="467"/>
    </row>
    <row r="60" spans="1:29">
      <c r="A60" s="436" t="s">
        <v>475</v>
      </c>
      <c r="B60" s="326">
        <f>IF(AND(OR(B12="1",B12="P"),'New Hire'!C28="Local"),ROUND(ROUND(B127*B14,0)*B15/261,0))+'UAT4-Apr'!B59</f>
        <v>2088123</v>
      </c>
      <c r="C60" s="326">
        <f>IF(AND(OR(C12="1",C12="P"),'New Hire'!D28="Local"),ROUND(ROUND(C127*C14,0)*C15/261,0))+'UAT4-Apr'!C59</f>
        <v>1691380</v>
      </c>
      <c r="D60" s="326">
        <f>IF(AND(OR(D12="1",D12="P"),'New Hire'!E28="Local"),ROUND(ROUND(D127*D14,0)*D15/261,0))+'UAT4-Apr'!D59</f>
        <v>0</v>
      </c>
      <c r="E60" s="326">
        <f>IF(AND(OR(E12="1",E12="P"),'New Hire'!F28="Local"),ROUND(ROUND(E127*E14,0)*E15/261,0))+'UAT4-Apr'!E59</f>
        <v>0</v>
      </c>
      <c r="F60" s="326">
        <f>IF(AND(OR(F12="1",F12="P"),'New Hire'!G28="Local"),ROUND(ROUND(F127*F14,0)*F15/261,0))+'UAT4-Apr'!F59</f>
        <v>0</v>
      </c>
      <c r="G60" s="326">
        <f>IF(AND(OR(G12="1",G12="P"),'New Hire'!H28="Local"),ROUND(ROUND(G127*G14,0)*G15/261,0))+'UAT4-Apr'!G59</f>
        <v>0</v>
      </c>
      <c r="H60" s="326">
        <f>IF(AND(OR(H12="1",H12="P"),'New Hire'!I28="Local"),ROUND(ROUND(H127*H14,0)*H15/261,0))+'UAT4-Apr'!H59</f>
        <v>0</v>
      </c>
      <c r="I60" s="326">
        <f>IF(AND(OR(I12="1",I12="P"),'New Hire'!J28="Local"),ROUND(ROUND(I127*I14,0)*I15/261,0))+'UAT4-Apr'!I59</f>
        <v>0</v>
      </c>
      <c r="J60" s="326">
        <f>IF(AND(OR(J12="1",J12="P"),'New Hire'!K28="Local"),ROUND(ROUND(J127*J14,0)*J15/261,0))+'UAT4-Apr'!J59</f>
        <v>10229888</v>
      </c>
      <c r="K60" s="326">
        <f>IF(AND(OR(K12="1",K12="P"),'New Hire'!L28="Local"),ROUND(ROUND(K127*K14,0)*K15/261,0))+'UAT4-Apr'!K59</f>
        <v>3340997</v>
      </c>
      <c r="L60" s="326">
        <f>IF(AND(OR(L12="1",L12="P"),'New Hire'!M28="Local"),ROUND(ROUND(L127*L14,0)*L15/261,0))+'UAT4-Apr'!L59</f>
        <v>37586213</v>
      </c>
      <c r="M60" s="326">
        <f>IF(AND(OR(M12="1",M12="P"),'New Hire'!N28="Local"),ROUND(ROUND(M127*M14,0)*M15/261,0))+'UAT4-Apr'!M59</f>
        <v>0</v>
      </c>
      <c r="N60" s="326">
        <f>IF(AND(OR(N12="1",N12="P"),'New Hire'!O28="Local"),ROUND(ROUND(N127*N14,0)*N15/261,0))+'UAT4-Apr'!N59</f>
        <v>0</v>
      </c>
      <c r="O60" s="326">
        <f>IF(AND(OR(O12="1",O12="P"),'New Hire'!P28="Local"),ROUND(ROUND(O127*O14,0)*O15/261,0))+'UAT4-Apr'!O59</f>
        <v>528736</v>
      </c>
      <c r="P60" s="339">
        <f>SUM(B60:O60)</f>
        <v>55465337</v>
      </c>
      <c r="Q60" s="335"/>
      <c r="R60" s="335"/>
      <c r="S60" s="335"/>
      <c r="T60" s="335"/>
      <c r="U60" s="335"/>
      <c r="V60" s="49" t="s">
        <v>422</v>
      </c>
      <c r="W60" s="39"/>
      <c r="X60" s="7"/>
      <c r="Y60" s="7"/>
      <c r="Z60" s="286"/>
      <c r="AA60" s="286"/>
      <c r="AB60" s="284"/>
      <c r="AC60" s="467"/>
    </row>
    <row r="61" spans="1:29">
      <c r="A61" s="436" t="s">
        <v>482</v>
      </c>
      <c r="B61" s="584"/>
      <c r="C61" s="584">
        <f>'UAT4-Apr'!C60</f>
        <v>2.5</v>
      </c>
      <c r="D61" s="584"/>
      <c r="E61" s="584"/>
      <c r="F61" s="584"/>
      <c r="G61" s="584">
        <f>CEILING(ROUND(G16/261,2),0.5)</f>
        <v>0.5</v>
      </c>
      <c r="H61" s="584">
        <f>CEILING(ROUND(('UAT1-Jan'!AB70+'UAT1-Jan'!H14+'UAT2-Feb'!H14+'UAT3-Mar'!H14+'UAT4-Apr'!H14+H15+H16)/261,2),0.5)</f>
        <v>5</v>
      </c>
      <c r="I61" s="584">
        <f>CEILING(ROUND(('UAT1-Jan'!I14+'UAT2-Feb'!I14+'UAT3-Mar'!I14+'UAT4-Apr'!I14+I15+I16)/261,2),0.5)</f>
        <v>0.5</v>
      </c>
      <c r="J61" s="584"/>
      <c r="K61" s="584"/>
      <c r="L61" s="584"/>
      <c r="M61" s="584"/>
      <c r="N61" s="584">
        <f>'UAT4-Apr'!N60</f>
        <v>1.5</v>
      </c>
      <c r="O61" s="584"/>
      <c r="P61" s="654">
        <f>SUM(B61:O61)</f>
        <v>10</v>
      </c>
      <c r="Q61" s="335"/>
      <c r="R61" s="335"/>
      <c r="S61" s="335"/>
      <c r="T61" s="335"/>
      <c r="U61" s="335"/>
      <c r="V61" s="49" t="s">
        <v>422</v>
      </c>
      <c r="W61" s="39"/>
      <c r="X61" s="7"/>
      <c r="Y61" s="7"/>
      <c r="Z61" s="286"/>
      <c r="AA61" s="286"/>
      <c r="AB61" s="284"/>
      <c r="AC61" s="467"/>
    </row>
    <row r="62" spans="1:29">
      <c r="A62" s="436" t="s">
        <v>581</v>
      </c>
      <c r="B62" s="326">
        <f>B88+'UAT4-Apr'!B61</f>
        <v>40100000</v>
      </c>
      <c r="C62" s="326">
        <f>C88+'UAT4-Apr'!C61</f>
        <v>34479000</v>
      </c>
      <c r="D62" s="326">
        <f>D88+'UAT4-Apr'!D61</f>
        <v>51596957</v>
      </c>
      <c r="E62" s="326">
        <f>E88+'UAT4-Apr'!E61</f>
        <v>48600000</v>
      </c>
      <c r="F62" s="326">
        <f>F88+'UAT4-Apr'!F61</f>
        <v>58880000</v>
      </c>
      <c r="G62" s="326">
        <f>G88+'UAT4-Apr'!G61</f>
        <v>74256000</v>
      </c>
      <c r="H62" s="326">
        <f>H88+'UAT4-Apr'!H61</f>
        <v>350395500</v>
      </c>
      <c r="I62" s="326">
        <f>I88+'UAT4-Apr'!I61</f>
        <v>324928012</v>
      </c>
      <c r="J62" s="326">
        <f>J88+'UAT4-Apr'!J61</f>
        <v>195000000</v>
      </c>
      <c r="K62" s="326">
        <f>K88+'UAT4-Apr'!K61</f>
        <v>53460000</v>
      </c>
      <c r="L62" s="326">
        <f>L88+'UAT4-Apr'!L61</f>
        <v>450000000</v>
      </c>
      <c r="M62" s="326">
        <f>M88+'UAT4-Apr'!M61</f>
        <v>37500000</v>
      </c>
      <c r="N62" s="326">
        <f>N88+'UAT4-Apr'!N61</f>
        <v>45000000</v>
      </c>
      <c r="O62" s="326">
        <f>O88+'UAT4-Apr'!O61</f>
        <v>6000000</v>
      </c>
      <c r="P62" s="339">
        <f>SUM(B62:O62)</f>
        <v>1770195469</v>
      </c>
      <c r="Q62" s="335"/>
      <c r="R62" s="335"/>
      <c r="S62" s="335"/>
      <c r="T62" s="335"/>
      <c r="U62" s="335"/>
      <c r="V62" s="49" t="s">
        <v>422</v>
      </c>
      <c r="W62" s="39"/>
      <c r="X62" s="7"/>
      <c r="Y62" s="7"/>
      <c r="Z62" s="286"/>
      <c r="AA62" s="286"/>
      <c r="AB62" s="284"/>
      <c r="AC62" s="467"/>
    </row>
    <row r="63" spans="1:29">
      <c r="A63" s="405"/>
      <c r="B63" s="325"/>
      <c r="C63" s="326"/>
      <c r="D63" s="326"/>
      <c r="E63" s="334"/>
      <c r="F63" s="326"/>
      <c r="G63" s="326"/>
      <c r="H63" s="326"/>
      <c r="I63" s="326"/>
      <c r="J63" s="326"/>
      <c r="K63" s="334"/>
      <c r="L63" s="334"/>
      <c r="M63" s="334"/>
      <c r="N63" s="334"/>
      <c r="O63" s="334"/>
      <c r="P63" s="339"/>
      <c r="Q63" s="341"/>
      <c r="R63" s="341"/>
      <c r="S63" s="341"/>
      <c r="T63" s="341"/>
      <c r="U63" s="341"/>
      <c r="V63" s="49" t="s">
        <v>422</v>
      </c>
      <c r="W63" s="39"/>
      <c r="X63" s="7"/>
      <c r="Y63" s="7"/>
      <c r="Z63" s="286"/>
      <c r="AA63" s="286"/>
      <c r="AB63" s="284"/>
      <c r="AC63" s="467"/>
    </row>
    <row r="64" spans="1:29" ht="15.6">
      <c r="A64" s="404" t="s">
        <v>835</v>
      </c>
      <c r="B64" s="468"/>
      <c r="C64" s="468"/>
      <c r="D64" s="468"/>
      <c r="E64" s="468"/>
      <c r="F64" s="468"/>
      <c r="G64" s="468"/>
      <c r="H64" s="468"/>
      <c r="I64" s="468"/>
      <c r="J64" s="559"/>
      <c r="K64" s="468"/>
      <c r="L64" s="468"/>
      <c r="M64" s="468"/>
      <c r="N64" s="468"/>
      <c r="O64" s="468"/>
      <c r="P64" s="339"/>
      <c r="Q64" s="341"/>
      <c r="R64" s="341"/>
      <c r="S64" s="341"/>
      <c r="T64" s="341"/>
      <c r="U64" s="341"/>
      <c r="V64" s="49" t="s">
        <v>422</v>
      </c>
      <c r="W64" s="39"/>
      <c r="X64" s="7"/>
      <c r="Y64" s="7"/>
      <c r="Z64" s="286"/>
      <c r="AA64" s="286"/>
      <c r="AB64" s="284"/>
      <c r="AC64" s="467"/>
    </row>
    <row r="65" spans="1:29">
      <c r="A65" s="462" t="s">
        <v>1120</v>
      </c>
      <c r="B65" s="334">
        <f t="shared" ref="B65:O65" si="16">ROUND(B73*(B101+B102),0)</f>
        <v>0</v>
      </c>
      <c r="C65" s="334">
        <f t="shared" si="16"/>
        <v>0</v>
      </c>
      <c r="D65" s="334">
        <f t="shared" si="16"/>
        <v>0</v>
      </c>
      <c r="E65" s="334">
        <f t="shared" si="16"/>
        <v>0</v>
      </c>
      <c r="F65" s="334">
        <f t="shared" si="16"/>
        <v>0</v>
      </c>
      <c r="G65" s="334">
        <f t="shared" si="16"/>
        <v>0</v>
      </c>
      <c r="H65" s="334">
        <f t="shared" si="16"/>
        <v>0</v>
      </c>
      <c r="I65" s="334">
        <f t="shared" si="16"/>
        <v>0</v>
      </c>
      <c r="J65" s="334">
        <f t="shared" si="16"/>
        <v>0</v>
      </c>
      <c r="K65" s="334">
        <f t="shared" si="16"/>
        <v>0</v>
      </c>
      <c r="L65" s="334">
        <f t="shared" si="16"/>
        <v>0</v>
      </c>
      <c r="M65" s="334">
        <f t="shared" si="16"/>
        <v>0</v>
      </c>
      <c r="N65" s="334">
        <f t="shared" si="16"/>
        <v>0</v>
      </c>
      <c r="O65" s="334">
        <f t="shared" si="16"/>
        <v>0</v>
      </c>
      <c r="P65" s="339">
        <f>SUM(B65:O65)</f>
        <v>0</v>
      </c>
      <c r="Q65" s="341"/>
      <c r="R65" s="341"/>
      <c r="S65" s="341"/>
      <c r="T65" s="341"/>
      <c r="U65" s="341"/>
      <c r="V65" s="33"/>
      <c r="W65" s="45"/>
      <c r="X65" s="13"/>
      <c r="Y65" s="13"/>
      <c r="Z65" s="13"/>
      <c r="AA65" s="13"/>
      <c r="AB65" s="13"/>
      <c r="AC65" s="18"/>
    </row>
    <row r="66" spans="1:29">
      <c r="A66" s="462" t="s">
        <v>832</v>
      </c>
      <c r="B66" s="334">
        <f t="shared" ref="B66:O66" si="17">ROUND(B99*B73,0)</f>
        <v>6000000</v>
      </c>
      <c r="C66" s="334">
        <f t="shared" si="17"/>
        <v>4860000</v>
      </c>
      <c r="D66" s="334">
        <f t="shared" si="17"/>
        <v>8238825</v>
      </c>
      <c r="E66" s="334">
        <f t="shared" si="17"/>
        <v>8307680</v>
      </c>
      <c r="F66" s="334">
        <f t="shared" si="17"/>
        <v>10338432</v>
      </c>
      <c r="G66" s="334">
        <f t="shared" si="17"/>
        <v>43756776</v>
      </c>
      <c r="H66" s="334">
        <f t="shared" si="17"/>
        <v>66402000</v>
      </c>
      <c r="I66" s="334">
        <f t="shared" si="17"/>
        <v>0</v>
      </c>
      <c r="J66" s="334">
        <f t="shared" si="17"/>
        <v>33240000</v>
      </c>
      <c r="K66" s="334">
        <f t="shared" si="17"/>
        <v>9600000</v>
      </c>
      <c r="L66" s="334">
        <f t="shared" si="17"/>
        <v>83076960</v>
      </c>
      <c r="M66" s="334">
        <f t="shared" si="17"/>
        <v>6923040</v>
      </c>
      <c r="N66" s="334">
        <f t="shared" si="17"/>
        <v>8307680</v>
      </c>
      <c r="O66" s="444">
        <f t="shared" si="17"/>
        <v>3717305</v>
      </c>
      <c r="P66" s="339">
        <f>SUM(B66:O66)</f>
        <v>292768698</v>
      </c>
      <c r="Q66" s="341"/>
      <c r="R66" s="341"/>
      <c r="S66" s="341"/>
      <c r="T66" s="341"/>
      <c r="U66" s="341"/>
      <c r="V66" s="33"/>
      <c r="W66" s="45"/>
      <c r="X66" s="13"/>
      <c r="Y66" s="13"/>
      <c r="Z66" s="13"/>
      <c r="AA66" s="13"/>
      <c r="AB66" s="13"/>
      <c r="AC66" s="18"/>
    </row>
    <row r="67" spans="1:29">
      <c r="A67" s="462" t="s">
        <v>833</v>
      </c>
      <c r="B67" s="334">
        <f>ROUND(ROUND(ROUND(ROUND((B127+B117+B118)*B14,0)*12*B17*AB34,0)/261,0)/10,0)+'UAT4-Apr'!B66</f>
        <v>786207</v>
      </c>
      <c r="C67" s="334"/>
      <c r="D67" s="334"/>
      <c r="E67" s="334"/>
      <c r="F67" s="334"/>
      <c r="G67" s="334"/>
      <c r="H67" s="334">
        <f>ROUND(ROUND(ROUND(ROUND((H127+H117+H118)*H14,0)*12*H17*AB35,0)/261,0)/10,0)+'UAT4-Apr'!H66</f>
        <v>5914874</v>
      </c>
      <c r="I67" s="334"/>
      <c r="J67" s="444"/>
      <c r="K67" s="334"/>
      <c r="L67" s="334"/>
      <c r="M67" s="334"/>
      <c r="N67" s="334"/>
      <c r="O67" s="334"/>
      <c r="P67" s="339">
        <f>SUM(B67:O67)</f>
        <v>6701081</v>
      </c>
      <c r="Q67" s="341"/>
      <c r="R67" s="341"/>
      <c r="S67" s="341"/>
      <c r="T67" s="341"/>
      <c r="U67" s="341"/>
      <c r="V67" s="33"/>
      <c r="W67" s="45"/>
      <c r="X67" s="13"/>
      <c r="Y67" s="13"/>
      <c r="Z67" s="13"/>
      <c r="AA67" s="13"/>
      <c r="AB67" s="13"/>
      <c r="AC67" s="18"/>
    </row>
    <row r="68" spans="1:29">
      <c r="A68" s="462" t="s">
        <v>834</v>
      </c>
      <c r="B68" s="334"/>
      <c r="C68" s="334">
        <f>ROUND(ROUND(C127*C14,0)*C61*50%,0)</f>
        <v>5062500</v>
      </c>
      <c r="D68" s="334"/>
      <c r="E68" s="334"/>
      <c r="F68" s="334"/>
      <c r="G68" s="334"/>
      <c r="H68" s="334">
        <f>ROUND(ROUND(H127*H14,0)*H61*50%,0)</f>
        <v>127627500</v>
      </c>
      <c r="I68" s="334"/>
      <c r="J68" s="334"/>
      <c r="K68" s="334"/>
      <c r="L68" s="334"/>
      <c r="M68" s="334"/>
      <c r="N68" s="334">
        <f>ROUND(ROUND(N127*N14,0)*N61*50%,0)</f>
        <v>4875000</v>
      </c>
      <c r="O68" s="334"/>
      <c r="P68" s="339">
        <f>SUM(B68:O68)</f>
        <v>137565000</v>
      </c>
      <c r="Q68" s="342"/>
      <c r="R68" s="342"/>
      <c r="S68" s="342"/>
      <c r="T68" s="342"/>
      <c r="U68" s="342"/>
      <c r="V68" s="32"/>
      <c r="W68" s="44"/>
      <c r="X68" s="13"/>
      <c r="Y68" s="13"/>
      <c r="Z68" s="13"/>
      <c r="AA68" s="13"/>
      <c r="AB68" s="13"/>
      <c r="AC68" s="18"/>
    </row>
    <row r="69" spans="1:29">
      <c r="A69" s="462"/>
      <c r="B69" s="468"/>
      <c r="C69" s="468"/>
      <c r="D69" s="468"/>
      <c r="E69" s="468"/>
      <c r="F69" s="468"/>
      <c r="G69" s="468"/>
      <c r="H69" s="468"/>
      <c r="I69" s="468"/>
      <c r="J69" s="559"/>
      <c r="K69" s="468"/>
      <c r="L69" s="468"/>
      <c r="M69" s="468"/>
      <c r="N69" s="468"/>
      <c r="O69" s="468"/>
      <c r="P69" s="339"/>
      <c r="Q69" s="341"/>
      <c r="R69" s="341"/>
      <c r="S69" s="341"/>
      <c r="T69" s="341"/>
      <c r="U69" s="341"/>
      <c r="V69" s="34"/>
      <c r="W69" s="46"/>
      <c r="X69" s="35"/>
      <c r="Y69" s="35"/>
      <c r="Z69" s="35"/>
      <c r="AA69" s="35"/>
      <c r="AB69" s="35"/>
      <c r="AC69" s="36"/>
    </row>
    <row r="70" spans="1:29" ht="15.6">
      <c r="A70" s="404" t="s">
        <v>483</v>
      </c>
      <c r="B70" s="325"/>
      <c r="C70" s="326"/>
      <c r="D70" s="326"/>
      <c r="E70" s="334"/>
      <c r="F70" s="326"/>
      <c r="G70" s="326"/>
      <c r="H70" s="326"/>
      <c r="I70" s="326"/>
      <c r="J70" s="326"/>
      <c r="K70" s="334"/>
      <c r="L70" s="334"/>
      <c r="M70" s="334"/>
      <c r="N70" s="334"/>
      <c r="O70" s="334"/>
      <c r="P70" s="339"/>
      <c r="Q70" s="341"/>
      <c r="R70" s="341"/>
      <c r="S70" s="341"/>
      <c r="T70" s="341"/>
      <c r="U70" s="341"/>
    </row>
    <row r="71" spans="1:29">
      <c r="A71" s="436" t="s">
        <v>488</v>
      </c>
      <c r="B71" s="326">
        <f t="shared" ref="B71:O71" si="18">IF(B12&lt;&gt;"C",ROUND(B126*12/52/40,0),0)</f>
        <v>28846</v>
      </c>
      <c r="C71" s="326">
        <f t="shared" si="18"/>
        <v>25962</v>
      </c>
      <c r="D71" s="326">
        <f t="shared" si="18"/>
        <v>40385</v>
      </c>
      <c r="E71" s="326">
        <f t="shared" si="18"/>
        <v>51923</v>
      </c>
      <c r="F71" s="326">
        <f t="shared" si="18"/>
        <v>80769</v>
      </c>
      <c r="G71" s="326">
        <f t="shared" si="18"/>
        <v>428400</v>
      </c>
      <c r="H71" s="326">
        <f t="shared" si="18"/>
        <v>629213</v>
      </c>
      <c r="I71" s="326">
        <f t="shared" si="18"/>
        <v>495338</v>
      </c>
      <c r="J71" s="326">
        <f t="shared" si="18"/>
        <v>288462</v>
      </c>
      <c r="K71" s="326">
        <f t="shared" si="18"/>
        <v>46154</v>
      </c>
      <c r="L71" s="326">
        <f t="shared" si="18"/>
        <v>519231</v>
      </c>
      <c r="M71" s="326">
        <f t="shared" si="18"/>
        <v>28846</v>
      </c>
      <c r="N71" s="326">
        <f t="shared" si="18"/>
        <v>37500</v>
      </c>
      <c r="O71" s="326">
        <f t="shared" si="18"/>
        <v>34615</v>
      </c>
      <c r="P71" s="339">
        <f>SUM(B71:O71)</f>
        <v>2735644</v>
      </c>
      <c r="Q71" s="341"/>
      <c r="R71" s="341"/>
      <c r="S71" s="341"/>
      <c r="T71" s="341"/>
      <c r="U71" s="341"/>
      <c r="V71"/>
      <c r="W71"/>
      <c r="X71"/>
      <c r="Y71"/>
      <c r="Z71"/>
      <c r="AA71"/>
      <c r="AB71"/>
      <c r="AC71"/>
    </row>
    <row r="72" spans="1:29">
      <c r="A72" s="436" t="s">
        <v>488</v>
      </c>
      <c r="B72" s="326"/>
      <c r="C72" s="326"/>
      <c r="D72" s="326"/>
      <c r="E72" s="326"/>
      <c r="F72" s="326"/>
      <c r="G72" s="326">
        <f>G113</f>
        <v>4641000</v>
      </c>
      <c r="H72" s="326"/>
      <c r="I72" s="326"/>
      <c r="J72" s="326"/>
      <c r="K72" s="326"/>
      <c r="L72" s="326"/>
      <c r="M72" s="326"/>
      <c r="N72" s="326"/>
      <c r="O72" s="326"/>
      <c r="P72" s="339">
        <f>SUM(B72:O72)</f>
        <v>4641000</v>
      </c>
      <c r="Q72" s="341"/>
      <c r="R72" s="341"/>
      <c r="S72" s="341"/>
      <c r="T72" s="341"/>
      <c r="U72" s="341"/>
      <c r="V72"/>
      <c r="W72"/>
      <c r="X72"/>
      <c r="Y72"/>
      <c r="Z72"/>
      <c r="AA72"/>
      <c r="AB72"/>
      <c r="AC72"/>
    </row>
    <row r="73" spans="1:29">
      <c r="A73" s="436" t="s">
        <v>499</v>
      </c>
      <c r="B73" s="326">
        <f t="shared" ref="B73:O73" si="19">IF(B12&lt;&gt;"C",ROUND(SUM(B126,B114:B115)*12/52/40,0),0)</f>
        <v>37500</v>
      </c>
      <c r="C73" s="326">
        <f t="shared" si="19"/>
        <v>33750</v>
      </c>
      <c r="D73" s="326">
        <f t="shared" si="19"/>
        <v>52500</v>
      </c>
      <c r="E73" s="326">
        <f t="shared" si="19"/>
        <v>51923</v>
      </c>
      <c r="F73" s="326">
        <f t="shared" si="19"/>
        <v>80769</v>
      </c>
      <c r="G73" s="326">
        <f t="shared" si="19"/>
        <v>428400</v>
      </c>
      <c r="H73" s="326">
        <f t="shared" si="19"/>
        <v>830025</v>
      </c>
      <c r="I73" s="326">
        <f t="shared" si="19"/>
        <v>495338</v>
      </c>
      <c r="J73" s="326">
        <f t="shared" si="19"/>
        <v>375000</v>
      </c>
      <c r="K73" s="326">
        <f t="shared" si="19"/>
        <v>60000</v>
      </c>
      <c r="L73" s="326">
        <f t="shared" si="19"/>
        <v>519231</v>
      </c>
      <c r="M73" s="326">
        <f t="shared" si="19"/>
        <v>43269</v>
      </c>
      <c r="N73" s="326">
        <f t="shared" si="19"/>
        <v>51923</v>
      </c>
      <c r="O73" s="326">
        <f t="shared" si="19"/>
        <v>34615</v>
      </c>
      <c r="P73" s="339">
        <f>SUM(B73:O73)</f>
        <v>3094243</v>
      </c>
      <c r="Q73" s="341"/>
      <c r="R73" s="341"/>
      <c r="S73" s="341"/>
      <c r="T73" s="341"/>
      <c r="U73" s="341"/>
      <c r="V73"/>
      <c r="W73"/>
      <c r="X73"/>
      <c r="Y73"/>
      <c r="Z73"/>
      <c r="AA73"/>
      <c r="AB73"/>
      <c r="AC73"/>
    </row>
    <row r="74" spans="1:29">
      <c r="A74" s="436" t="s">
        <v>500</v>
      </c>
      <c r="B74" s="326">
        <f t="shared" ref="B74:O74" si="20">ROUND(B126/B17,0)</f>
        <v>217391</v>
      </c>
      <c r="C74" s="326">
        <f t="shared" si="20"/>
        <v>195652</v>
      </c>
      <c r="D74" s="326">
        <f t="shared" si="20"/>
        <v>304348</v>
      </c>
      <c r="E74" s="326">
        <f t="shared" si="20"/>
        <v>391304</v>
      </c>
      <c r="F74" s="326">
        <f t="shared" si="20"/>
        <v>608696</v>
      </c>
      <c r="G74" s="326">
        <f t="shared" si="20"/>
        <v>3228522</v>
      </c>
      <c r="H74" s="326">
        <f t="shared" si="20"/>
        <v>4741891</v>
      </c>
      <c r="I74" s="326">
        <f t="shared" si="20"/>
        <v>3732978</v>
      </c>
      <c r="J74" s="326">
        <f t="shared" si="20"/>
        <v>2173913</v>
      </c>
      <c r="K74" s="326">
        <f t="shared" si="20"/>
        <v>347826</v>
      </c>
      <c r="L74" s="326">
        <f t="shared" si="20"/>
        <v>3913043</v>
      </c>
      <c r="M74" s="326">
        <f t="shared" si="20"/>
        <v>217391</v>
      </c>
      <c r="N74" s="326">
        <f t="shared" si="20"/>
        <v>282609</v>
      </c>
      <c r="O74" s="326">
        <f t="shared" si="20"/>
        <v>260870</v>
      </c>
      <c r="P74" s="339">
        <f>SUM(B74:O74)</f>
        <v>20616434</v>
      </c>
      <c r="Q74" s="341"/>
      <c r="R74" s="341"/>
      <c r="S74" s="341"/>
      <c r="T74" s="341"/>
      <c r="U74" s="341"/>
      <c r="V74"/>
      <c r="W74"/>
      <c r="X74"/>
      <c r="Y74"/>
      <c r="Z74"/>
      <c r="AA74"/>
      <c r="AB74"/>
      <c r="AC74"/>
    </row>
    <row r="75" spans="1:29">
      <c r="A75" s="436" t="s">
        <v>621</v>
      </c>
      <c r="B75" s="326">
        <f t="shared" ref="B75:O75" si="21">ROUND(SUM(B114:B116,B118:B120)/B17,0)</f>
        <v>65217</v>
      </c>
      <c r="C75" s="326">
        <f t="shared" si="21"/>
        <v>58696</v>
      </c>
      <c r="D75" s="326">
        <f t="shared" si="21"/>
        <v>91304</v>
      </c>
      <c r="E75" s="326">
        <f t="shared" si="21"/>
        <v>0</v>
      </c>
      <c r="F75" s="326">
        <f t="shared" si="21"/>
        <v>0</v>
      </c>
      <c r="G75" s="326">
        <f t="shared" si="21"/>
        <v>0</v>
      </c>
      <c r="H75" s="326">
        <f t="shared" si="21"/>
        <v>1513370</v>
      </c>
      <c r="I75" s="326">
        <f t="shared" si="21"/>
        <v>0</v>
      </c>
      <c r="J75" s="326">
        <f t="shared" si="21"/>
        <v>652174</v>
      </c>
      <c r="K75" s="326">
        <f t="shared" si="21"/>
        <v>104348</v>
      </c>
      <c r="L75" s="326">
        <f t="shared" si="21"/>
        <v>0</v>
      </c>
      <c r="M75" s="326">
        <f t="shared" si="21"/>
        <v>108696</v>
      </c>
      <c r="N75" s="326">
        <f t="shared" si="21"/>
        <v>108696</v>
      </c>
      <c r="O75" s="326">
        <f t="shared" si="21"/>
        <v>0</v>
      </c>
      <c r="P75" s="339">
        <f>SUM(B75:O75)</f>
        <v>2702501</v>
      </c>
      <c r="Q75" s="341"/>
      <c r="R75" s="341"/>
      <c r="S75" s="341"/>
      <c r="T75" s="341"/>
      <c r="U75" s="341"/>
      <c r="V75"/>
      <c r="W75"/>
      <c r="X75"/>
      <c r="Y75"/>
      <c r="Z75"/>
      <c r="AA75"/>
      <c r="AB75"/>
      <c r="AC75"/>
    </row>
    <row r="76" spans="1:29">
      <c r="A76" s="436" t="s">
        <v>501</v>
      </c>
      <c r="B76" s="631">
        <f t="shared" ref="B76:O76" si="22">ROUND(B15/B17*B14,7)</f>
        <v>1</v>
      </c>
      <c r="C76" s="631">
        <f t="shared" si="22"/>
        <v>0.9</v>
      </c>
      <c r="D76" s="631">
        <f t="shared" si="22"/>
        <v>1</v>
      </c>
      <c r="E76" s="631">
        <f t="shared" si="22"/>
        <v>1</v>
      </c>
      <c r="F76" s="631">
        <f t="shared" si="22"/>
        <v>0.8</v>
      </c>
      <c r="G76" s="631">
        <f t="shared" si="22"/>
        <v>0.34782610000000003</v>
      </c>
      <c r="H76" s="631">
        <f t="shared" si="22"/>
        <v>0.5</v>
      </c>
      <c r="I76" s="631">
        <f t="shared" si="22"/>
        <v>0.75</v>
      </c>
      <c r="J76" s="631">
        <f t="shared" si="22"/>
        <v>0.6</v>
      </c>
      <c r="K76" s="631">
        <f t="shared" si="22"/>
        <v>1</v>
      </c>
      <c r="L76" s="631">
        <f t="shared" si="22"/>
        <v>1</v>
      </c>
      <c r="M76" s="631">
        <f t="shared" si="22"/>
        <v>1</v>
      </c>
      <c r="N76" s="631">
        <f t="shared" si="22"/>
        <v>1</v>
      </c>
      <c r="O76" s="631">
        <f t="shared" si="22"/>
        <v>1</v>
      </c>
      <c r="P76" s="653"/>
      <c r="Q76" s="341"/>
      <c r="R76" s="341"/>
      <c r="S76" s="341"/>
      <c r="T76" s="341"/>
      <c r="U76" s="341"/>
      <c r="V76"/>
      <c r="W76"/>
      <c r="X76"/>
      <c r="Y76"/>
      <c r="Z76"/>
      <c r="AA76"/>
      <c r="AB76"/>
      <c r="AC76"/>
    </row>
    <row r="77" spans="1:29">
      <c r="A77" s="436" t="s">
        <v>501</v>
      </c>
      <c r="B77" s="631"/>
      <c r="C77" s="631"/>
      <c r="D77" s="631"/>
      <c r="E77" s="631"/>
      <c r="F77" s="631"/>
      <c r="G77" s="631">
        <f>ROUND(G16/G17*G14,7)</f>
        <v>0.65217389999999997</v>
      </c>
      <c r="H77" s="631"/>
      <c r="I77" s="631"/>
      <c r="J77" s="631"/>
      <c r="K77" s="631"/>
      <c r="L77" s="631"/>
      <c r="M77" s="631"/>
      <c r="N77" s="631"/>
      <c r="O77" s="631"/>
      <c r="P77" s="653"/>
      <c r="Q77" s="341"/>
      <c r="R77" s="341"/>
      <c r="S77" s="341"/>
      <c r="T77" s="341"/>
      <c r="U77" s="341"/>
    </row>
    <row r="78" spans="1:29">
      <c r="A78" s="436" t="s">
        <v>502</v>
      </c>
      <c r="B78" s="631">
        <f t="shared" ref="B78:O78" si="23">ROUND((B15-B121)/261*B14,7)</f>
        <v>8.8122599999999995E-2</v>
      </c>
      <c r="C78" s="631">
        <f t="shared" si="23"/>
        <v>7.93103E-2</v>
      </c>
      <c r="D78" s="631">
        <f t="shared" si="23"/>
        <v>8.8122599999999995E-2</v>
      </c>
      <c r="E78" s="631">
        <f t="shared" si="23"/>
        <v>8.8122599999999995E-2</v>
      </c>
      <c r="F78" s="631">
        <f t="shared" si="23"/>
        <v>7.0498099999999994E-2</v>
      </c>
      <c r="G78" s="631">
        <f t="shared" si="23"/>
        <v>3.0651299999999999E-2</v>
      </c>
      <c r="H78" s="631">
        <f t="shared" si="23"/>
        <v>4.4061299999999998E-2</v>
      </c>
      <c r="I78" s="631">
        <f t="shared" si="23"/>
        <v>6.6091999999999998E-2</v>
      </c>
      <c r="J78" s="631">
        <f t="shared" si="23"/>
        <v>5.28736E-2</v>
      </c>
      <c r="K78" s="631">
        <f t="shared" si="23"/>
        <v>8.8122599999999995E-2</v>
      </c>
      <c r="L78" s="631">
        <f t="shared" si="23"/>
        <v>8.8122599999999995E-2</v>
      </c>
      <c r="M78" s="631">
        <f t="shared" si="23"/>
        <v>8.8122599999999995E-2</v>
      </c>
      <c r="N78" s="631">
        <f t="shared" si="23"/>
        <v>8.8122599999999995E-2</v>
      </c>
      <c r="O78" s="631">
        <f t="shared" si="23"/>
        <v>8.8122599999999995E-2</v>
      </c>
      <c r="P78" s="653"/>
      <c r="Q78" s="373"/>
      <c r="R78" s="373"/>
      <c r="S78" s="373"/>
      <c r="T78" s="373"/>
      <c r="U78" s="373"/>
    </row>
    <row r="79" spans="1:29">
      <c r="A79" s="436" t="s">
        <v>502</v>
      </c>
      <c r="B79" s="631"/>
      <c r="C79" s="631"/>
      <c r="D79" s="631"/>
      <c r="E79" s="631"/>
      <c r="F79" s="631"/>
      <c r="G79" s="631">
        <f>ROUND((G16-G121)/261*G14,7)</f>
        <v>5.7471300000000003E-2</v>
      </c>
      <c r="H79" s="631"/>
      <c r="I79" s="631"/>
      <c r="J79" s="631"/>
      <c r="K79" s="631"/>
      <c r="L79" s="631"/>
      <c r="M79" s="631"/>
      <c r="N79" s="631"/>
      <c r="O79" s="631"/>
      <c r="P79" s="653"/>
      <c r="Q79" s="373"/>
      <c r="R79" s="373"/>
      <c r="S79" s="373"/>
      <c r="T79" s="373"/>
      <c r="U79" s="373"/>
    </row>
    <row r="80" spans="1:29">
      <c r="A80" s="436" t="s">
        <v>503</v>
      </c>
      <c r="B80" s="631">
        <f t="shared" ref="B80:O80" si="24">ROUND(B123/B17,7)</f>
        <v>0</v>
      </c>
      <c r="C80" s="631">
        <f t="shared" si="24"/>
        <v>0</v>
      </c>
      <c r="D80" s="631">
        <f t="shared" si="24"/>
        <v>0</v>
      </c>
      <c r="E80" s="631">
        <f t="shared" si="24"/>
        <v>0</v>
      </c>
      <c r="F80" s="631">
        <f t="shared" si="24"/>
        <v>0</v>
      </c>
      <c r="G80" s="631">
        <f t="shared" si="24"/>
        <v>0</v>
      </c>
      <c r="H80" s="631">
        <f t="shared" si="24"/>
        <v>0</v>
      </c>
      <c r="I80" s="631">
        <f t="shared" si="24"/>
        <v>0</v>
      </c>
      <c r="J80" s="631">
        <f t="shared" si="24"/>
        <v>0</v>
      </c>
      <c r="K80" s="631">
        <f t="shared" si="24"/>
        <v>0</v>
      </c>
      <c r="L80" s="631">
        <f t="shared" si="24"/>
        <v>0</v>
      </c>
      <c r="M80" s="631">
        <f t="shared" si="24"/>
        <v>0</v>
      </c>
      <c r="N80" s="631">
        <f t="shared" si="24"/>
        <v>0</v>
      </c>
      <c r="O80" s="631">
        <f t="shared" si="24"/>
        <v>0</v>
      </c>
      <c r="P80" s="653"/>
      <c r="Q80" s="341"/>
      <c r="R80" s="341"/>
      <c r="S80" s="341"/>
      <c r="T80" s="341"/>
      <c r="U80" s="341"/>
    </row>
    <row r="81" spans="1:21">
      <c r="A81" s="408" t="s">
        <v>492</v>
      </c>
      <c r="B81" s="325">
        <f>ROUND(AA24*B18/365,0)</f>
        <v>679452</v>
      </c>
      <c r="C81" s="326">
        <f>ROUND(AA25*C18/365,0)</f>
        <v>679452</v>
      </c>
      <c r="E81" s="326">
        <f>ROUND(AA26*E18/365,0)</f>
        <v>679452</v>
      </c>
      <c r="F81" s="326">
        <f>ROUND(AA27*F18/365,0)</f>
        <v>679452</v>
      </c>
      <c r="G81" s="326"/>
      <c r="H81" s="326">
        <f>ROUND(AA28*(G18+G19)/365,0)</f>
        <v>679452</v>
      </c>
      <c r="I81" s="326"/>
      <c r="J81" s="326"/>
      <c r="K81" s="334"/>
      <c r="L81" s="334"/>
      <c r="M81" s="334"/>
      <c r="N81" s="334"/>
      <c r="O81" s="334"/>
      <c r="P81" s="339">
        <f>SUM(B81:O81)</f>
        <v>3397260</v>
      </c>
      <c r="Q81" s="341"/>
      <c r="R81" s="341"/>
      <c r="S81" s="341"/>
      <c r="T81" s="341"/>
      <c r="U81" s="341"/>
    </row>
    <row r="82" spans="1:21">
      <c r="A82" s="405" t="s">
        <v>534</v>
      </c>
      <c r="B82" s="325"/>
      <c r="C82" s="326"/>
      <c r="E82" s="326"/>
      <c r="F82" s="326"/>
      <c r="G82" s="326"/>
      <c r="H82" s="326">
        <f>ROUND(AA29*(G18+G19)/365,0)</f>
        <v>594521</v>
      </c>
      <c r="I82" s="326"/>
      <c r="J82" s="326"/>
      <c r="K82" s="326"/>
      <c r="L82" s="326"/>
      <c r="M82" s="326"/>
      <c r="N82" s="326"/>
      <c r="O82" s="326"/>
      <c r="P82" s="339">
        <f>SUM(B82:O82)</f>
        <v>594521</v>
      </c>
      <c r="Q82" s="374"/>
      <c r="R82" s="374"/>
      <c r="S82" s="374"/>
      <c r="T82" s="374"/>
      <c r="U82" s="374"/>
    </row>
    <row r="83" spans="1:21">
      <c r="A83" s="405"/>
      <c r="B83" s="325"/>
      <c r="C83" s="326"/>
      <c r="D83" s="326"/>
      <c r="E83" s="334"/>
      <c r="F83" s="326"/>
      <c r="G83" s="326"/>
      <c r="H83" s="326"/>
      <c r="I83" s="326"/>
      <c r="J83" s="326"/>
      <c r="K83" s="334"/>
      <c r="L83" s="334"/>
      <c r="M83" s="334"/>
      <c r="N83" s="334"/>
      <c r="O83" s="334"/>
      <c r="P83" s="339"/>
      <c r="Q83" s="341"/>
      <c r="R83" s="341"/>
      <c r="S83" s="341"/>
      <c r="T83" s="341"/>
      <c r="U83" s="341"/>
    </row>
    <row r="84" spans="1:21">
      <c r="A84" s="405" t="s">
        <v>576</v>
      </c>
      <c r="B84" s="325">
        <f t="shared" ref="B84:O84" si="25">SUM(B27:B31)</f>
        <v>6500000</v>
      </c>
      <c r="C84" s="326">
        <f t="shared" si="25"/>
        <v>5265000</v>
      </c>
      <c r="D84" s="326">
        <f t="shared" si="25"/>
        <v>9100000</v>
      </c>
      <c r="E84" s="326">
        <f t="shared" si="25"/>
        <v>9000000</v>
      </c>
      <c r="F84" s="326">
        <f t="shared" si="25"/>
        <v>11200000</v>
      </c>
      <c r="G84" s="326">
        <f t="shared" si="25"/>
        <v>71632825</v>
      </c>
      <c r="H84" s="326">
        <f t="shared" si="25"/>
        <v>68454750</v>
      </c>
      <c r="I84" s="326">
        <f t="shared" si="25"/>
        <v>62653500</v>
      </c>
      <c r="J84" s="326">
        <f t="shared" si="25"/>
        <v>39000000</v>
      </c>
      <c r="K84" s="326">
        <f t="shared" si="25"/>
        <v>10400000</v>
      </c>
      <c r="L84" s="326">
        <f t="shared" si="25"/>
        <v>90000000</v>
      </c>
      <c r="M84" s="326">
        <f t="shared" si="25"/>
        <v>7500000</v>
      </c>
      <c r="N84" s="326">
        <f t="shared" si="25"/>
        <v>9000000</v>
      </c>
      <c r="O84" s="326">
        <f t="shared" si="25"/>
        <v>6000000</v>
      </c>
      <c r="P84" s="339">
        <f t="shared" ref="P84:P130" si="26">SUM(B84:O84)</f>
        <v>405706075</v>
      </c>
      <c r="Q84" s="341"/>
      <c r="R84" s="341"/>
      <c r="S84" s="341"/>
      <c r="T84" s="341"/>
      <c r="U84" s="341"/>
    </row>
    <row r="85" spans="1:21">
      <c r="A85" s="436" t="s">
        <v>484</v>
      </c>
      <c r="B85" s="326">
        <f t="shared" ref="B85:O85" si="27">SUM(B27:B30,B33)</f>
        <v>6701270</v>
      </c>
      <c r="C85" s="326">
        <f t="shared" si="27"/>
        <v>5627287</v>
      </c>
      <c r="D85" s="326">
        <f t="shared" si="27"/>
        <v>9100000</v>
      </c>
      <c r="E85" s="326">
        <f t="shared" si="27"/>
        <v>9301906</v>
      </c>
      <c r="F85" s="326">
        <f t="shared" si="27"/>
        <v>11200000</v>
      </c>
      <c r="G85" s="326">
        <f t="shared" si="27"/>
        <v>71632825</v>
      </c>
      <c r="H85" s="326">
        <f t="shared" si="27"/>
        <v>73315915</v>
      </c>
      <c r="I85" s="326">
        <f t="shared" si="27"/>
        <v>62653500</v>
      </c>
      <c r="J85" s="326">
        <f t="shared" si="27"/>
        <v>39000000</v>
      </c>
      <c r="K85" s="326">
        <f t="shared" si="27"/>
        <v>10400000</v>
      </c>
      <c r="L85" s="326">
        <f t="shared" si="27"/>
        <v>90000000</v>
      </c>
      <c r="M85" s="326">
        <f t="shared" si="27"/>
        <v>7500000</v>
      </c>
      <c r="N85" s="326">
        <f t="shared" si="27"/>
        <v>9000000</v>
      </c>
      <c r="O85" s="326">
        <f t="shared" si="27"/>
        <v>6000000</v>
      </c>
      <c r="P85" s="339">
        <f t="shared" si="26"/>
        <v>411432703</v>
      </c>
      <c r="Q85" s="341"/>
      <c r="R85" s="341"/>
      <c r="S85" s="341"/>
      <c r="T85" s="341"/>
      <c r="U85" s="341"/>
    </row>
    <row r="86" spans="1:21">
      <c r="A86" s="436" t="s">
        <v>578</v>
      </c>
      <c r="B86" s="326">
        <f>MIN(IF(OR(B21="A",B21="B"),ROUND(SUM(B127,B114,B115,B117)*B14,0),B128),29800000)</f>
        <v>6500000</v>
      </c>
      <c r="C86" s="326">
        <f t="shared" ref="C86:O86" si="28">MIN(IF(OR(C21="A",C21="B"),ROUND(SUM(C127,C114,C115,C117)*C14,0),C128),27800000)</f>
        <v>5265000</v>
      </c>
      <c r="D86" s="326">
        <f t="shared" si="28"/>
        <v>9100000</v>
      </c>
      <c r="E86" s="326">
        <f t="shared" si="28"/>
        <v>9000000</v>
      </c>
      <c r="F86" s="326">
        <f t="shared" si="28"/>
        <v>11200000</v>
      </c>
      <c r="G86" s="326">
        <f t="shared" si="28"/>
        <v>27800000</v>
      </c>
      <c r="H86" s="326">
        <f t="shared" si="28"/>
        <v>27800000</v>
      </c>
      <c r="I86" s="326">
        <f t="shared" si="28"/>
        <v>27800000</v>
      </c>
      <c r="J86" s="326">
        <f t="shared" si="28"/>
        <v>27800000</v>
      </c>
      <c r="K86" s="326">
        <f t="shared" si="28"/>
        <v>10400000</v>
      </c>
      <c r="L86" s="326">
        <f t="shared" si="28"/>
        <v>27800000</v>
      </c>
      <c r="M86" s="326">
        <f t="shared" si="28"/>
        <v>7500000</v>
      </c>
      <c r="N86" s="326">
        <f t="shared" si="28"/>
        <v>9000000</v>
      </c>
      <c r="O86" s="326">
        <f t="shared" si="28"/>
        <v>6000000</v>
      </c>
      <c r="P86" s="339">
        <f t="shared" si="26"/>
        <v>212965000</v>
      </c>
      <c r="Q86" s="341"/>
      <c r="R86" s="341"/>
      <c r="S86" s="341"/>
      <c r="T86" s="341"/>
      <c r="U86" s="341"/>
    </row>
    <row r="87" spans="1:21">
      <c r="A87" s="405" t="s">
        <v>1200</v>
      </c>
      <c r="B87" s="326">
        <f t="shared" ref="B87:O87" si="29">IF(OR(B21="A",B21="B"),ROUND(SUM(B127,B114,B115,B117)*B14,0),B129)</f>
        <v>6500000</v>
      </c>
      <c r="C87" s="326">
        <f t="shared" si="29"/>
        <v>5265000</v>
      </c>
      <c r="D87" s="326">
        <f t="shared" si="29"/>
        <v>9100000</v>
      </c>
      <c r="E87" s="326">
        <f t="shared" si="29"/>
        <v>9000000</v>
      </c>
      <c r="F87" s="326">
        <f t="shared" si="29"/>
        <v>11200000</v>
      </c>
      <c r="G87" s="326">
        <f t="shared" si="29"/>
        <v>75200000</v>
      </c>
      <c r="H87" s="326">
        <f t="shared" si="29"/>
        <v>69325000</v>
      </c>
      <c r="I87" s="326">
        <f t="shared" si="29"/>
        <v>63450000</v>
      </c>
      <c r="J87" s="326">
        <f t="shared" si="29"/>
        <v>39000000</v>
      </c>
      <c r="K87" s="326">
        <f t="shared" si="29"/>
        <v>10400000</v>
      </c>
      <c r="L87" s="326">
        <f t="shared" si="29"/>
        <v>90000000</v>
      </c>
      <c r="M87" s="326">
        <f t="shared" si="29"/>
        <v>7500000</v>
      </c>
      <c r="N87" s="326">
        <f t="shared" si="29"/>
        <v>9000000</v>
      </c>
      <c r="O87" s="326">
        <f t="shared" si="29"/>
        <v>6000000</v>
      </c>
      <c r="P87" s="339">
        <f t="shared" si="26"/>
        <v>410940000</v>
      </c>
      <c r="Q87" s="341"/>
      <c r="R87" s="341"/>
      <c r="S87" s="341"/>
      <c r="T87" s="341"/>
      <c r="U87" s="341"/>
    </row>
    <row r="88" spans="1:21">
      <c r="A88" s="405" t="s">
        <v>580</v>
      </c>
      <c r="B88" s="326">
        <f t="shared" ref="B88:O88" si="30">IF(OR(B21="A",B21="B"),ROUND(SUM(B127,B114,B115,B118,B119,B117)*B14,0),ROUND(SUM(B127,B114,B115,B117)*B14,0))</f>
        <v>6500000</v>
      </c>
      <c r="C88" s="326">
        <f t="shared" si="30"/>
        <v>5265000</v>
      </c>
      <c r="D88" s="326">
        <f t="shared" si="30"/>
        <v>9100000</v>
      </c>
      <c r="E88" s="326">
        <f t="shared" si="30"/>
        <v>9000000</v>
      </c>
      <c r="F88" s="326">
        <f t="shared" si="30"/>
        <v>11200000</v>
      </c>
      <c r="G88" s="326">
        <f t="shared" si="30"/>
        <v>74256000</v>
      </c>
      <c r="H88" s="326">
        <f t="shared" si="30"/>
        <v>68454750</v>
      </c>
      <c r="I88" s="326">
        <f t="shared" si="30"/>
        <v>62653500</v>
      </c>
      <c r="J88" s="326">
        <f t="shared" si="30"/>
        <v>39000000</v>
      </c>
      <c r="K88" s="326">
        <f t="shared" si="30"/>
        <v>10400000</v>
      </c>
      <c r="L88" s="326">
        <f t="shared" si="30"/>
        <v>90000000</v>
      </c>
      <c r="M88" s="326">
        <f t="shared" si="30"/>
        <v>7500000</v>
      </c>
      <c r="N88" s="326">
        <f t="shared" si="30"/>
        <v>9000000</v>
      </c>
      <c r="O88" s="326">
        <f t="shared" si="30"/>
        <v>6000000</v>
      </c>
      <c r="P88" s="339">
        <f t="shared" si="26"/>
        <v>408329250</v>
      </c>
      <c r="Q88" s="341"/>
      <c r="R88" s="341"/>
      <c r="S88" s="341"/>
      <c r="T88" s="341"/>
      <c r="U88" s="341"/>
    </row>
    <row r="89" spans="1:21">
      <c r="A89" s="405" t="s">
        <v>481</v>
      </c>
      <c r="B89" s="326">
        <f>ROUND('UAT4-Apr'!B61/4,0)</f>
        <v>8400000</v>
      </c>
      <c r="C89" s="326">
        <f>ROUND('UAT4-Apr'!C61/4,0)</f>
        <v>7303500</v>
      </c>
      <c r="D89" s="326">
        <f>ROUND('UAT4-Apr'!D61/4,0)</f>
        <v>10624239</v>
      </c>
      <c r="E89" s="326">
        <f>ROUND('UAT4-Apr'!E61/4,0)</f>
        <v>9900000</v>
      </c>
      <c r="F89" s="326">
        <f>ROUND('UAT4-Apr'!F61/4,0)</f>
        <v>11920000</v>
      </c>
      <c r="G89" s="561">
        <f>G86/4</f>
        <v>6950000</v>
      </c>
      <c r="H89" s="326">
        <f>ROUND('UAT4-Apr'!H61/4,0)</f>
        <v>70485188</v>
      </c>
      <c r="I89" s="326">
        <f>ROUND('UAT4-Apr'!I61/4,0)</f>
        <v>65568628</v>
      </c>
      <c r="J89" s="326">
        <f>ROUND('UAT4-Apr'!J61/4,0)</f>
        <v>39000000</v>
      </c>
      <c r="K89" s="326">
        <f>ROUND('UAT4-Apr'!K61/4,0)</f>
        <v>10765000</v>
      </c>
      <c r="L89" s="326">
        <f>ROUND('UAT4-Apr'!L61/4,0)</f>
        <v>90000000</v>
      </c>
      <c r="M89" s="326">
        <f>ROUND('UAT4-Apr'!M61/4,0)</f>
        <v>7500000</v>
      </c>
      <c r="N89" s="326">
        <f>ROUND('UAT4-Apr'!N61/4,0)</f>
        <v>9000000</v>
      </c>
      <c r="O89" s="561">
        <f>O86/4</f>
        <v>1500000</v>
      </c>
      <c r="P89" s="339">
        <f t="shared" si="26"/>
        <v>348916555</v>
      </c>
      <c r="Q89" s="341"/>
      <c r="R89" s="341"/>
      <c r="S89" s="341"/>
      <c r="T89" s="341"/>
      <c r="U89" s="341"/>
    </row>
    <row r="90" spans="1:21">
      <c r="A90" s="436" t="s">
        <v>600</v>
      </c>
      <c r="B90" s="326">
        <f t="shared" ref="B90:O90" si="31">SUM(B39:B41)</f>
        <v>682500</v>
      </c>
      <c r="C90" s="326">
        <f t="shared" si="31"/>
        <v>552825</v>
      </c>
      <c r="D90" s="326">
        <f t="shared" si="31"/>
        <v>227500</v>
      </c>
      <c r="E90" s="326">
        <f t="shared" si="31"/>
        <v>945000</v>
      </c>
      <c r="F90" s="326">
        <f t="shared" si="31"/>
        <v>0</v>
      </c>
      <c r="G90" s="326">
        <f t="shared" si="31"/>
        <v>417000</v>
      </c>
      <c r="H90" s="326">
        <f t="shared" si="31"/>
        <v>417000</v>
      </c>
      <c r="I90" s="326">
        <f t="shared" si="31"/>
        <v>417000</v>
      </c>
      <c r="J90" s="326">
        <f t="shared" si="31"/>
        <v>3031000</v>
      </c>
      <c r="K90" s="326">
        <f t="shared" si="31"/>
        <v>0</v>
      </c>
      <c r="L90" s="326">
        <f t="shared" si="31"/>
        <v>3477000</v>
      </c>
      <c r="M90" s="326">
        <f t="shared" si="31"/>
        <v>0</v>
      </c>
      <c r="N90" s="326">
        <f t="shared" si="31"/>
        <v>0</v>
      </c>
      <c r="O90" s="326">
        <f t="shared" si="31"/>
        <v>0</v>
      </c>
      <c r="P90" s="339">
        <f t="shared" si="26"/>
        <v>10166825</v>
      </c>
      <c r="Q90" s="341"/>
      <c r="R90" s="341"/>
      <c r="S90" s="341"/>
      <c r="T90" s="341"/>
      <c r="U90" s="341"/>
    </row>
    <row r="91" spans="1:21">
      <c r="A91" s="436" t="s">
        <v>577</v>
      </c>
      <c r="B91" s="326">
        <f t="shared" ref="B91:O91" si="32">IF(OR(B21="A",B21="C"),B85-B90,B85)</f>
        <v>6018770</v>
      </c>
      <c r="C91" s="326">
        <f t="shared" si="32"/>
        <v>5074462</v>
      </c>
      <c r="D91" s="326">
        <f t="shared" si="32"/>
        <v>8872500</v>
      </c>
      <c r="E91" s="326">
        <f t="shared" si="32"/>
        <v>9301906</v>
      </c>
      <c r="F91" s="326">
        <f t="shared" si="32"/>
        <v>11200000</v>
      </c>
      <c r="G91" s="326">
        <f t="shared" si="32"/>
        <v>71215825</v>
      </c>
      <c r="H91" s="326">
        <f t="shared" si="32"/>
        <v>73315915</v>
      </c>
      <c r="I91" s="326">
        <f t="shared" si="32"/>
        <v>62653500</v>
      </c>
      <c r="J91" s="326">
        <f t="shared" si="32"/>
        <v>35969000</v>
      </c>
      <c r="K91" s="326">
        <f t="shared" si="32"/>
        <v>10400000</v>
      </c>
      <c r="L91" s="326">
        <f t="shared" si="32"/>
        <v>86523000</v>
      </c>
      <c r="M91" s="326">
        <f t="shared" si="32"/>
        <v>7500000</v>
      </c>
      <c r="N91" s="326">
        <f t="shared" si="32"/>
        <v>9000000</v>
      </c>
      <c r="O91" s="326">
        <f t="shared" si="32"/>
        <v>6000000</v>
      </c>
      <c r="P91" s="339">
        <f t="shared" si="26"/>
        <v>403044878</v>
      </c>
      <c r="Q91" s="341"/>
      <c r="R91" s="341"/>
      <c r="S91" s="341"/>
      <c r="T91" s="341"/>
      <c r="U91" s="341"/>
    </row>
    <row r="92" spans="1:21">
      <c r="A92" s="436" t="s">
        <v>849</v>
      </c>
      <c r="B92" s="326">
        <f t="shared" ref="B92:O92" si="33">MAX(B91-B24-B23,0)</f>
        <v>0</v>
      </c>
      <c r="C92" s="326">
        <f t="shared" si="33"/>
        <v>0</v>
      </c>
      <c r="D92" s="326">
        <f t="shared" si="33"/>
        <v>0</v>
      </c>
      <c r="E92" s="326">
        <f t="shared" si="33"/>
        <v>9301906</v>
      </c>
      <c r="F92" s="326">
        <f t="shared" si="33"/>
        <v>11200000</v>
      </c>
      <c r="G92" s="326">
        <f t="shared" si="33"/>
        <v>62215825</v>
      </c>
      <c r="H92" s="326">
        <f t="shared" si="33"/>
        <v>73315915</v>
      </c>
      <c r="I92" s="326">
        <f t="shared" si="33"/>
        <v>62653500</v>
      </c>
      <c r="J92" s="326">
        <f t="shared" si="33"/>
        <v>26969000</v>
      </c>
      <c r="K92" s="326">
        <f t="shared" si="33"/>
        <v>1400000</v>
      </c>
      <c r="L92" s="326">
        <f t="shared" si="33"/>
        <v>77523000</v>
      </c>
      <c r="M92" s="326">
        <f t="shared" si="33"/>
        <v>0</v>
      </c>
      <c r="N92" s="326">
        <f t="shared" si="33"/>
        <v>0</v>
      </c>
      <c r="O92" s="326">
        <f t="shared" si="33"/>
        <v>6000000</v>
      </c>
      <c r="P92" s="339">
        <f t="shared" si="26"/>
        <v>330579146</v>
      </c>
      <c r="Q92" s="341"/>
      <c r="R92" s="341"/>
      <c r="S92" s="341"/>
      <c r="T92" s="341"/>
      <c r="U92" s="341"/>
    </row>
    <row r="93" spans="1:21">
      <c r="A93" s="436" t="s">
        <v>851</v>
      </c>
      <c r="B93" s="326">
        <f>IF(OR(B21="A",B21="C"),ROUND(MAX(B92*{5;10;15;20;25;30;35}%-{0;0.25;0.75;1.65;3.25;5.85;9.85}*1000000,0),0),IF(B21="B",IF(B92&lt;2000000,0,ROUND(B92*10%,0)),ROUND(B92*20%,0)))</f>
        <v>0</v>
      </c>
      <c r="C93" s="326">
        <f>IF(OR(C21="A",C21="C"),ROUND(MAX(C92*{5;10;15;20;25;30;35}%-{0;0.25;0.75;1.65;3.25;5.85;9.85}*1000000,0),0),IF(C21="B",IF(C92&lt;2000000,0,ROUND(C92*10%,0)),ROUND(C92*20%,0)))</f>
        <v>0</v>
      </c>
      <c r="D93" s="326">
        <f>IF(OR(D21="A",D21="C"),ROUND(MAX(D92*{5;10;15;20;25;30;35}%-{0;0.25;0.75;1.65;3.25;5.85;9.85}*1000000,0),0),IF(D21="B",IF(D92&lt;2000000,0,ROUND(D92*10%,0)),ROUND(D92*20%,0)))</f>
        <v>0</v>
      </c>
      <c r="E93" s="326">
        <f>IF(OR(E21="A",E21="C"),ROUND(MAX(E92*{5;10;15;20;25;30;35}%-{0;0.25;0.75;1.65;3.25;5.85;9.85}*1000000,0),0),IF(E21="B",IF(E92&lt;2000000,0,ROUND(E92*10%,0)),ROUND(E92*20%,0)))</f>
        <v>930191</v>
      </c>
      <c r="F93" s="326">
        <f>IF(OR(F21="A",F21="C"),ROUND(MAX(F92*{5;10;15;20;25;30;35}%-{0;0.25;0.75;1.65;3.25;5.85;9.85}*1000000,0),0),IF(F21="B",IF(F92&lt;2000000,0,ROUND(F92*10%,0)),ROUND(F92*20%,0)))</f>
        <v>1120000</v>
      </c>
      <c r="G93" s="326">
        <f>IF(OR(G21="A",G21="C"),ROUND(MAX(G92*{5;10;15;20;25;30;35}%-{0;0.25;0.75;1.65;3.25;5.85;9.85}*1000000,0),0),IF(G21="B",IF(G92&lt;2000000,0,ROUND(G92*10%,0)),ROUND(G92*20%,0)))</f>
        <v>12814748</v>
      </c>
      <c r="H93" s="326">
        <f>IF(OR(H21="A",H21="C"),ROUND(MAX(H92*{5;10;15;20;25;30;35}%-{0;0.25;0.75;1.65;3.25;5.85;9.85}*1000000,0),0),IF(H21="B",IF(H92&lt;2000000,0,ROUND(H92*10%,0)),ROUND(H92*20%,0)))</f>
        <v>14663183</v>
      </c>
      <c r="I93" s="326">
        <f>IF(OR(I21="A",I21="C"),ROUND(MAX(I92*{5;10;15;20;25;30;35}%-{0;0.25;0.75;1.65;3.25;5.85;9.85}*1000000,0),0),IF(I21="B",IF(I92&lt;2000000,0,ROUND(I92*10%,0)),ROUND(I92*20%,0)))</f>
        <v>12530700</v>
      </c>
      <c r="J93" s="326">
        <f>IF(OR(J21="A",J21="C"),ROUND(MAX(J92*{5;10;15;20;25;30;35}%-{0;0.25;0.75;1.65;3.25;5.85;9.85}*1000000,0),0),IF(J21="B",IF(J92&lt;2000000,0,ROUND(J92*10%,0)),ROUND(J92*20%,0)))</f>
        <v>3743800</v>
      </c>
      <c r="K93" s="326">
        <f>IF(OR(K21="A",K21="C"),ROUND(MAX(K92*{5;10;15;20;25;30;35}%-{0;0.25;0.75;1.65;3.25;5.85;9.85}*1000000,0),0),IF(K21="B",IF(K92&lt;2000000,0,ROUND(K92*10%,0)),ROUND(K92*20%,0)))</f>
        <v>70000</v>
      </c>
      <c r="L93" s="326">
        <f>IF(OR(L21="A",L21="C"),ROUND(MAX(L92*{5;10;15;20;25;30;35}%-{0;0.25;0.75;1.65;3.25;5.85;9.85}*1000000,0),0),IF(L21="B",IF(L92&lt;2000000,0,ROUND(L92*10%,0)),ROUND(L92*20%,0)))</f>
        <v>17406900</v>
      </c>
      <c r="M93" s="326">
        <f>IF(OR(M21="A",M21="C"),ROUND(MAX(M92*{5;10;15;20;25;30;35}%-{0;0.25;0.75;1.65;3.25;5.85;9.85}*1000000,0),0),IF(M21="B",IF(M92&lt;2000000,0,ROUND(M92*10%,0)),ROUND(M92*20%,0)))</f>
        <v>0</v>
      </c>
      <c r="N93" s="326">
        <f>IF(OR(N21="A",N21="C"),ROUND(MAX(N92*{5;10;15;20;25;30;35}%-{0;0.25;0.75;1.65;3.25;5.85;9.85}*1000000,0),0),IF(N21="B",IF(N92&lt;2000000,0,ROUND(N92*10%,0)),ROUND(N92*20%,0)))</f>
        <v>0</v>
      </c>
      <c r="O93" s="326">
        <f>IF(OR(O21="A",O21="C"),ROUND(MAX(O92*{5;10;15;20;25;30;35}%-{0;0.25;0.75;1.65;3.25;5.85;9.85}*1000000,0),0),IF(O21="B",IF(O92&lt;2000000,0,ROUND(O92*10%,0)),ROUND(O92*20%,0)))</f>
        <v>600000</v>
      </c>
      <c r="P93" s="339">
        <f t="shared" si="26"/>
        <v>63879522</v>
      </c>
      <c r="Q93" s="341"/>
      <c r="R93" s="341"/>
      <c r="S93" s="341"/>
      <c r="T93" s="341"/>
      <c r="U93" s="341"/>
    </row>
    <row r="94" spans="1:21">
      <c r="A94" s="436" t="s">
        <v>865</v>
      </c>
      <c r="B94" s="326">
        <f>B85+'UAT4-Apr'!B90</f>
        <v>60480381</v>
      </c>
      <c r="C94" s="326">
        <f>C85+'UAT4-Apr'!C90</f>
        <v>50389688</v>
      </c>
      <c r="D94" s="326">
        <f>D85+'UAT4-Apr'!D90</f>
        <v>67021738</v>
      </c>
      <c r="E94" s="326">
        <f>E85+'UAT4-Apr'!E90</f>
        <v>132470574</v>
      </c>
      <c r="F94" s="326">
        <f>F85+'UAT4-Apr'!F90</f>
        <v>60800000</v>
      </c>
      <c r="G94" s="326">
        <f>G85+'UAT4-Apr'!G90</f>
        <v>299041825</v>
      </c>
      <c r="H94" s="326">
        <f>H85+'UAT4-Apr'!H90</f>
        <v>445695159</v>
      </c>
      <c r="I94" s="326">
        <f>I85+'UAT4-Apr'!I90</f>
        <v>440533052</v>
      </c>
      <c r="J94" s="326">
        <f>J85+'UAT4-Apr'!J90</f>
        <v>166173914</v>
      </c>
      <c r="K94" s="326">
        <f>K85+'UAT4-Apr'!K90</f>
        <v>52000000</v>
      </c>
      <c r="L94" s="326">
        <f>L85+'UAT4-Apr'!L90</f>
        <v>450000000</v>
      </c>
      <c r="M94" s="326">
        <f>M85+'UAT4-Apr'!M90</f>
        <v>37500000</v>
      </c>
      <c r="N94" s="326">
        <f>N85+'UAT4-Apr'!N90</f>
        <v>45000000</v>
      </c>
      <c r="O94" s="326">
        <f>O85+'UAT4-Apr'!O90</f>
        <v>20000000</v>
      </c>
      <c r="P94" s="339">
        <f t="shared" si="26"/>
        <v>2327106331</v>
      </c>
      <c r="Q94" s="341"/>
      <c r="R94" s="341"/>
      <c r="S94" s="341"/>
      <c r="T94" s="341"/>
      <c r="U94" s="341"/>
    </row>
    <row r="95" spans="1:21">
      <c r="A95" s="436" t="s">
        <v>486</v>
      </c>
      <c r="B95" s="326">
        <f>B93+'UAT4-Apr'!B91</f>
        <v>325093</v>
      </c>
      <c r="C95" s="326">
        <f>C93+'UAT4-Apr'!C91</f>
        <v>0</v>
      </c>
      <c r="D95" s="326">
        <f>D93+'UAT4-Apr'!D91</f>
        <v>678837</v>
      </c>
      <c r="E95" s="326">
        <f>E93+'UAT4-Apr'!E91</f>
        <v>13247059</v>
      </c>
      <c r="F95" s="326">
        <f>F93+'UAT4-Apr'!F91</f>
        <v>6080000</v>
      </c>
      <c r="G95" s="326">
        <f>G93+'UAT4-Apr'!G91</f>
        <v>61995148</v>
      </c>
      <c r="H95" s="326">
        <f>H93+'UAT4-Apr'!H91</f>
        <v>89139032</v>
      </c>
      <c r="I95" s="326">
        <f>I93+'UAT4-Apr'!I91</f>
        <v>88106610</v>
      </c>
      <c r="J95" s="326">
        <f>J93+'UAT4-Apr'!J91</f>
        <v>15995389</v>
      </c>
      <c r="K95" s="326">
        <f>K93+'UAT4-Apr'!K91</f>
        <v>350000</v>
      </c>
      <c r="L95" s="326">
        <f>L93+'UAT4-Apr'!L91</f>
        <v>87034500</v>
      </c>
      <c r="M95" s="326">
        <f>M93+'UAT4-Apr'!M91</f>
        <v>0</v>
      </c>
      <c r="N95" s="326">
        <f>N93+'UAT4-Apr'!N91</f>
        <v>0</v>
      </c>
      <c r="O95" s="326">
        <f>O93+'UAT4-Apr'!O91</f>
        <v>2000000</v>
      </c>
      <c r="P95" s="339">
        <f t="shared" si="26"/>
        <v>364951668</v>
      </c>
    </row>
    <row r="96" spans="1:21">
      <c r="A96" s="436" t="s">
        <v>487</v>
      </c>
      <c r="B96" s="326">
        <f>B90+'UAT4-Apr'!B92</f>
        <v>4147500</v>
      </c>
      <c r="C96" s="326">
        <f>C90+'UAT4-Apr'!C92</f>
        <v>3425625</v>
      </c>
      <c r="D96" s="326">
        <f>D90+'UAT4-Apr'!D92</f>
        <v>1312500</v>
      </c>
      <c r="E96" s="326">
        <f>E90+'UAT4-Apr'!E92</f>
        <v>4725000</v>
      </c>
      <c r="F96" s="326">
        <f>F90+'UAT4-Apr'!F92</f>
        <v>0</v>
      </c>
      <c r="G96" s="326">
        <f>G90+'UAT4-Apr'!G92</f>
        <v>417000</v>
      </c>
      <c r="H96" s="326">
        <f>H90+'UAT4-Apr'!H92</f>
        <v>2085000</v>
      </c>
      <c r="I96" s="326">
        <f>I90+'UAT4-Apr'!I92</f>
        <v>1668000</v>
      </c>
      <c r="J96" s="326">
        <f>J90+'UAT4-Apr'!J92</f>
        <v>12124000</v>
      </c>
      <c r="K96" s="326">
        <f>K90+'UAT4-Apr'!K92</f>
        <v>0</v>
      </c>
      <c r="L96" s="326">
        <f>L90+'UAT4-Apr'!L92</f>
        <v>17385000</v>
      </c>
      <c r="M96" s="326">
        <f>M90+'UAT4-Apr'!M92</f>
        <v>0</v>
      </c>
      <c r="N96" s="326">
        <f>N90+'UAT4-Apr'!N92</f>
        <v>0</v>
      </c>
      <c r="O96" s="326">
        <f>O90+'UAT4-Apr'!O92</f>
        <v>0</v>
      </c>
      <c r="P96" s="339">
        <f t="shared" si="26"/>
        <v>47289625</v>
      </c>
    </row>
    <row r="97" spans="1:16">
      <c r="A97" s="405"/>
      <c r="B97" s="14"/>
      <c r="C97" s="7"/>
      <c r="D97" s="7"/>
      <c r="E97" s="316"/>
      <c r="F97" s="7"/>
      <c r="G97" s="7"/>
      <c r="H97" s="7"/>
      <c r="I97" s="7"/>
      <c r="J97" s="7"/>
      <c r="K97" s="316"/>
      <c r="L97" s="316"/>
      <c r="M97" s="316"/>
      <c r="N97" s="316"/>
      <c r="O97" s="316"/>
      <c r="P97" s="339">
        <f t="shared" si="26"/>
        <v>0</v>
      </c>
    </row>
    <row r="98" spans="1:16" ht="15.6">
      <c r="A98" s="404" t="s">
        <v>775</v>
      </c>
      <c r="B98" s="14"/>
      <c r="C98" s="7"/>
      <c r="D98" s="7"/>
      <c r="E98" s="316"/>
      <c r="F98" s="7"/>
      <c r="G98" s="7"/>
      <c r="H98" s="7"/>
      <c r="I98" s="7"/>
      <c r="J98" s="7"/>
      <c r="K98" s="316"/>
      <c r="L98" s="316"/>
      <c r="M98" s="316"/>
      <c r="N98" s="316"/>
      <c r="O98" s="316"/>
      <c r="P98" s="339">
        <f t="shared" si="26"/>
        <v>0</v>
      </c>
    </row>
    <row r="99" spans="1:16">
      <c r="A99" s="436" t="s">
        <v>431</v>
      </c>
      <c r="B99" s="531">
        <v>160</v>
      </c>
      <c r="C99" s="531">
        <v>144</v>
      </c>
      <c r="D99" s="531">
        <v>156.93</v>
      </c>
      <c r="E99" s="531">
        <v>160</v>
      </c>
      <c r="F99" s="531">
        <v>128</v>
      </c>
      <c r="G99" s="531">
        <f>ROUND(20*8*(365-12-30-31-28-31)/365,2)</f>
        <v>102.14</v>
      </c>
      <c r="H99" s="531">
        <v>80</v>
      </c>
      <c r="I99" s="531">
        <v>0</v>
      </c>
      <c r="J99" s="531">
        <v>88.64</v>
      </c>
      <c r="K99" s="531">
        <v>160</v>
      </c>
      <c r="L99" s="531">
        <v>160</v>
      </c>
      <c r="M99" s="531">
        <v>160</v>
      </c>
      <c r="N99" s="531">
        <v>160</v>
      </c>
      <c r="O99" s="531">
        <f>ROUNDDOWN(160*(365-31-28-31-30)/365,2)</f>
        <v>107.39</v>
      </c>
      <c r="P99" s="653">
        <f t="shared" si="26"/>
        <v>1767.1000000000001</v>
      </c>
    </row>
    <row r="100" spans="1:16">
      <c r="A100" s="436" t="s">
        <v>432</v>
      </c>
      <c r="B100" s="531">
        <v>80</v>
      </c>
      <c r="C100" s="531">
        <v>72</v>
      </c>
      <c r="D100" s="531">
        <v>78.47</v>
      </c>
      <c r="E100" s="531">
        <v>80</v>
      </c>
      <c r="F100" s="531">
        <v>64</v>
      </c>
      <c r="G100" s="531">
        <f>ROUND(10*8*(365-12-30-31-28-31)/365,2)</f>
        <v>51.07</v>
      </c>
      <c r="H100" s="531">
        <v>40</v>
      </c>
      <c r="I100" s="531">
        <v>0</v>
      </c>
      <c r="J100" s="531">
        <v>44.32</v>
      </c>
      <c r="K100" s="531">
        <v>80</v>
      </c>
      <c r="L100" s="531">
        <v>80</v>
      </c>
      <c r="M100" s="531">
        <v>80</v>
      </c>
      <c r="N100" s="531">
        <v>80</v>
      </c>
      <c r="O100" s="531">
        <f>ROUND(80*(365-31-28-31-30)/365,2)</f>
        <v>53.7</v>
      </c>
      <c r="P100" s="653">
        <f t="shared" si="26"/>
        <v>883.56000000000006</v>
      </c>
    </row>
    <row r="101" spans="1:16">
      <c r="A101" s="436" t="s">
        <v>433</v>
      </c>
      <c r="B101" s="531">
        <v>0</v>
      </c>
      <c r="C101" s="531">
        <v>0</v>
      </c>
      <c r="D101" s="531">
        <v>0</v>
      </c>
      <c r="E101" s="531">
        <v>0</v>
      </c>
      <c r="F101" s="531">
        <v>0</v>
      </c>
      <c r="G101" s="531">
        <v>0</v>
      </c>
      <c r="H101" s="531">
        <v>0</v>
      </c>
      <c r="I101" s="531">
        <v>0</v>
      </c>
      <c r="J101" s="531">
        <v>0</v>
      </c>
      <c r="K101" s="531">
        <v>0</v>
      </c>
      <c r="L101" s="531">
        <v>0</v>
      </c>
      <c r="M101" s="531">
        <v>0</v>
      </c>
      <c r="N101" s="531">
        <v>0</v>
      </c>
      <c r="O101" s="531">
        <v>0</v>
      </c>
      <c r="P101" s="653">
        <f t="shared" si="26"/>
        <v>0</v>
      </c>
    </row>
    <row r="102" spans="1:16">
      <c r="A102" s="436" t="s">
        <v>434</v>
      </c>
      <c r="B102" s="531">
        <v>0</v>
      </c>
      <c r="C102" s="531">
        <v>0</v>
      </c>
      <c r="D102" s="531">
        <v>0</v>
      </c>
      <c r="E102" s="531">
        <v>0</v>
      </c>
      <c r="F102" s="531">
        <v>0</v>
      </c>
      <c r="G102" s="531">
        <v>0</v>
      </c>
      <c r="H102" s="531">
        <v>0</v>
      </c>
      <c r="I102" s="531">
        <v>0</v>
      </c>
      <c r="J102" s="531">
        <v>0</v>
      </c>
      <c r="K102" s="531">
        <v>0</v>
      </c>
      <c r="L102" s="531">
        <v>0</v>
      </c>
      <c r="M102" s="531">
        <v>0</v>
      </c>
      <c r="N102" s="531">
        <v>0</v>
      </c>
      <c r="O102" s="531">
        <v>0</v>
      </c>
      <c r="P102" s="653">
        <f t="shared" si="26"/>
        <v>0</v>
      </c>
    </row>
    <row r="103" spans="1:16">
      <c r="A103" s="436" t="s">
        <v>435</v>
      </c>
      <c r="B103" s="531">
        <v>0</v>
      </c>
      <c r="C103" s="531">
        <v>0</v>
      </c>
      <c r="D103" s="531">
        <v>0</v>
      </c>
      <c r="E103" s="531">
        <v>0</v>
      </c>
      <c r="F103" s="531">
        <v>0</v>
      </c>
      <c r="G103" s="531">
        <v>0</v>
      </c>
      <c r="H103" s="531">
        <v>0</v>
      </c>
      <c r="I103" s="531">
        <v>0</v>
      </c>
      <c r="J103" s="531">
        <v>0</v>
      </c>
      <c r="K103" s="531">
        <v>0</v>
      </c>
      <c r="L103" s="531">
        <v>0</v>
      </c>
      <c r="M103" s="531">
        <v>0</v>
      </c>
      <c r="N103" s="531">
        <v>0</v>
      </c>
      <c r="O103" s="531">
        <v>0</v>
      </c>
      <c r="P103" s="653">
        <f t="shared" si="26"/>
        <v>0</v>
      </c>
    </row>
    <row r="104" spans="1:16">
      <c r="A104" s="436"/>
      <c r="F104" s="5"/>
      <c r="G104" s="5"/>
      <c r="H104" s="5"/>
      <c r="I104" s="5"/>
      <c r="P104" s="339">
        <f t="shared" si="26"/>
        <v>0</v>
      </c>
    </row>
    <row r="105" spans="1:16" ht="15.6">
      <c r="A105" s="404" t="s">
        <v>436</v>
      </c>
      <c r="P105" s="339">
        <f t="shared" si="26"/>
        <v>0</v>
      </c>
    </row>
    <row r="106" spans="1:16">
      <c r="A106" s="6" t="s">
        <v>809</v>
      </c>
      <c r="B106" s="528">
        <f>IF(OR(B12="S",B12="C"),0,IF(OR(B12="1",B12="3"),ROUND(20*8*B18/365,5),ROUND(20*'New Hire'!C24*B18/365,5)))+'UAT4-Apr'!B102</f>
        <v>66.191770000000005</v>
      </c>
      <c r="C106" s="528">
        <f>IF(OR(C12="S",C12="C"),0,IF(OR(C12="1",C12="3"),ROUND(20*8*C18/365,5),ROUND(20*'New Hire'!D24*C18/365,5)))+'UAT4-Apr'!C102</f>
        <v>59.572620000000001</v>
      </c>
      <c r="D106" s="528">
        <f>IF(OR(D12="S",D12="C"),0,IF(OR(D12="1",D12="3"),ROUND(20*8*D18/365,5),ROUND(20*'New Hire'!E24*D18/365,5)))+'UAT4-Apr'!D102</f>
        <v>63.123280000000008</v>
      </c>
      <c r="E106" s="528">
        <f>IF(OR(E12="S",E12="C"),0,IF(OR(E12="1",E12="3"),ROUND(20*8*E18/365,5),ROUND(20*'New Hire'!F24*E18/365,5)))+'UAT4-Apr'!E102</f>
        <v>66.191770000000005</v>
      </c>
      <c r="F106" s="528">
        <f>IF(OR(F12="S",F12="C"),0,IF(OR(F12="1",F12="3"),ROUND(20*8*F18/365,5),ROUND(20*'New Hire'!G24*F18/365,5)))+'UAT4-Apr'!F102</f>
        <v>52.953419999999994</v>
      </c>
      <c r="G106" s="528">
        <f>ROUND(20*8*G16/365,5)</f>
        <v>6.5753399999999997</v>
      </c>
      <c r="H106" s="528">
        <f>IF(OR(H12="S",H12="C"),0,IF(OR(H12="1",H12="3"),ROUND(20*8*H18/365,5),ROUND(20*'New Hire'!I24*H18/365,5)))+'UAT4-Apr'!H102</f>
        <v>33.095890000000004</v>
      </c>
      <c r="I106" s="528">
        <f>IF(OR(I12="S",I12="C"),0,IF(OR(I12="1",I12="3"),ROUND(20*8*I18/365,5),ROUND(20*'New Hire'!J24*I18/365,5)))+'UAT4-Apr'!I102</f>
        <v>0</v>
      </c>
      <c r="J106" s="528">
        <f>IF(OR(J12="S",J12="C"),0,IF(OR(J12="1",J12="3"),ROUND(20*8*J18/365,5),ROUND(20*'New Hire'!K24*J18/365,5)))+'UAT4-Apr'!J102</f>
        <v>32.350670000000001</v>
      </c>
      <c r="K106" s="528">
        <f>IF(OR(K12="S",K12="C"),0,IF(OR(K12="1",K12="3"),ROUND(20*8*K18/365,5),ROUND(20*'New Hire'!L24*K18/365,5)))+'UAT4-Apr'!K102</f>
        <v>66.191770000000005</v>
      </c>
      <c r="L106" s="528">
        <f>IF(OR(L12="S",L12="C"),0,IF(OR(L12="1",L12="3"),ROUND(20*8*L18/365,5),ROUND(20*'New Hire'!M24*L18/365,5)))+'UAT4-Apr'!L102</f>
        <v>66.191770000000005</v>
      </c>
      <c r="M106" s="528">
        <f>IF(OR(M12="S",M12="C"),0,IF(OR(M12="1",M12="3"),ROUND(20*8*M18/365,5),ROUND(20*'New Hire'!N24*M18/365,5)))+'UAT4-Apr'!M102</f>
        <v>66.191770000000005</v>
      </c>
      <c r="N106" s="528">
        <f>IF(OR(N12="S",N12="C"),0,IF(OR(N12="1",N12="3"),ROUND(20*8*N18/365,5),ROUND(20*'New Hire'!O24*N18/365,5)))+'UAT4-Apr'!N102</f>
        <v>66.191770000000005</v>
      </c>
      <c r="O106" s="528">
        <f>IF(OR(O12="S",O12="C"),0,IF(OR(O12="1",O12="3"),ROUND(20*8*O18/365,5),ROUND(20*'New Hire'!P24*O18/365,5)))+'UAT4-Apr'!O102</f>
        <v>13.589040000000001</v>
      </c>
      <c r="P106" s="339">
        <f t="shared" si="26"/>
        <v>658.41088000000002</v>
      </c>
    </row>
    <row r="107" spans="1:16">
      <c r="A107" s="6" t="s">
        <v>810</v>
      </c>
      <c r="B107" s="529">
        <f>IF(OR(B12="S",B12="C"),0,IF(OR(B12="1",B12="3"),ROUND(10*8*B18/365,5),ROUND(10*'New Hire'!C24*B18/365,5)))+'UAT4-Apr'!B103</f>
        <v>33.095890000000004</v>
      </c>
      <c r="C107" s="529">
        <f>IF(OR(C12="S",C12="C"),0,IF(OR(C12="1",C12="3"),ROUND(10*8*C18/365,5),ROUND(10*'New Hire'!D24*C18/365,5)))+'UAT4-Apr'!C103</f>
        <v>29.78631</v>
      </c>
      <c r="D107" s="529">
        <f>IF(OR(D12="S",D12="C"),0,IF(OR(D12="1",D12="3"),ROUND(10*8*D18/365,5),ROUND(10*'New Hire'!E24*D18/365,5)))+'UAT4-Apr'!D103</f>
        <v>31.561640000000004</v>
      </c>
      <c r="E107" s="529">
        <f>IF(OR(E12="S",E12="C"),0,IF(OR(E12="1",E12="3"),ROUND(10*8*E18/365,5),ROUND(10*'New Hire'!F24*E18/365,5)))+'UAT4-Apr'!E103</f>
        <v>33.095890000000004</v>
      </c>
      <c r="F107" s="529">
        <f>IF(OR(F12="S",F12="C"),0,IF(OR(F12="1",F12="3"),ROUND(10*8*F18/365,5),ROUND(10*'New Hire'!G24*F18/365,5)))+'UAT4-Apr'!F103</f>
        <v>26.47672</v>
      </c>
      <c r="G107" s="529">
        <f>ROUND(10*8*G16/365,5)</f>
        <v>3.2876699999999999</v>
      </c>
      <c r="H107" s="529">
        <f>IF(OR(H12="S",H12="C"),0,IF(OR(H12="1",H12="3"),ROUND(10*8*H18/365,5),ROUND(10*'New Hire'!I24*H18/365,5)))+'UAT4-Apr'!H103</f>
        <v>16.547940000000001</v>
      </c>
      <c r="I107" s="529">
        <f>IF(OR(I12="S",I12="C"),0,IF(OR(I12="1",I12="3"),ROUND(10*8*I18/365,5),ROUND(10*'New Hire'!J24*I18/365,5)))+'UAT4-Apr'!I103</f>
        <v>0</v>
      </c>
      <c r="J107" s="529">
        <f>IF(OR(J12="S",J12="C"),0,IF(OR(J12="1",J12="3"),ROUND(10*8*J18/365,5),ROUND(10*'New Hire'!K24*J18/365,5)))+'UAT4-Apr'!J103</f>
        <v>16.175339999999998</v>
      </c>
      <c r="K107" s="529">
        <f>IF(OR(K12="S",K12="C"),0,IF(OR(K12="1",K12="3"),ROUND(10*8*K18/365,5),ROUND(10*'New Hire'!L24*K18/365,5)))+'UAT4-Apr'!K103</f>
        <v>33.095890000000004</v>
      </c>
      <c r="L107" s="529">
        <f>IF(OR(L12="S",L12="C"),0,IF(OR(L12="1",L12="3"),ROUND(10*8*L18/365,5),ROUND(10*'New Hire'!M24*L18/365,5)))+'UAT4-Apr'!L103</f>
        <v>33.095890000000004</v>
      </c>
      <c r="M107" s="529">
        <f>IF(OR(M12="S",M12="C"),0,IF(OR(M12="1",M12="3"),ROUND(10*8*M18/365,5),ROUND(10*'New Hire'!N24*M18/365,5)))+'UAT4-Apr'!M103</f>
        <v>33.095890000000004</v>
      </c>
      <c r="N107" s="529">
        <f>IF(OR(N12="S",N12="C"),0,IF(OR(N12="1",N12="3"),ROUND(10*8*N18/365,5),ROUND(10*'New Hire'!O24*N18/365,5)))+'UAT4-Apr'!N103</f>
        <v>33.095890000000004</v>
      </c>
      <c r="O107" s="529">
        <f>IF(OR(O12="S",O12="C"),0,IF(OR(O12="1",O12="3"),ROUND(10*8*O18/365,5),ROUND(10*'New Hire'!P24*O18/365,5)))+'UAT4-Apr'!O103</f>
        <v>6.7945200000000003</v>
      </c>
      <c r="P107" s="339">
        <f t="shared" si="26"/>
        <v>329.20548000000002</v>
      </c>
    </row>
    <row r="108" spans="1:16">
      <c r="A108" s="436" t="s">
        <v>779</v>
      </c>
      <c r="B108" s="528">
        <f>IF('New Hire'!C78=1,ROUND(25/10*B14%/365,5)*B18,0)+'UAT4-Apr'!B104</f>
        <v>0</v>
      </c>
      <c r="C108" s="528">
        <f>IF('New Hire'!D78=1,ROUND(25/10*C14%/365,5)*C18,0)+'UAT4-Apr'!C104</f>
        <v>0.36895999999999995</v>
      </c>
      <c r="D108" s="528">
        <f>IF('New Hire'!E78=1,ROUND(25/10*D14%/365,5)*D18,0)+'UAT4-Apr'!D104</f>
        <v>0</v>
      </c>
      <c r="E108" s="528">
        <f>IF('New Hire'!F78=1,ROUND(25/10*E14%/365,5)*E18,0)+'UAT4-Apr'!E104</f>
        <v>0</v>
      </c>
      <c r="F108" s="528">
        <f>IF('New Hire'!G78=1,ROUND(25/10*F14%/365,5)*F18,0)+'UAT4-Apr'!F104</f>
        <v>0.32791999999999993</v>
      </c>
      <c r="G108" s="528">
        <f>IF('New Hire'!H78=1,ROUND(25/10*G14%/365,5)*G18,0)+'UAT4-Apr'!G104</f>
        <v>0</v>
      </c>
      <c r="H108" s="528">
        <f>IF('New Hire'!I78=1,ROUND(25/10*H14%/365,5)*H18,0)+'UAT4-Apr'!H104</f>
        <v>0</v>
      </c>
      <c r="I108" s="528">
        <f>IF('New Hire'!J78=1,ROUND(25/10*I14%/365,5)*I18,0)+'UAT4-Apr'!I104</f>
        <v>0</v>
      </c>
      <c r="J108" s="528">
        <f>IF('New Hire'!K78=1,ROUND(25/10*J14%/365,5)*J18,0)+'UAT4-Apr'!J104</f>
        <v>0</v>
      </c>
      <c r="K108" s="528">
        <f>IF('New Hire'!L78=1,ROUND(25/10*K14%/365,5)*K18,0)+'UAT4-Apr'!K104</f>
        <v>0</v>
      </c>
      <c r="L108" s="528">
        <f>IF('New Hire'!M78=1,ROUND(25/10*L14%/365,5)*L18,0)+'UAT4-Apr'!L104</f>
        <v>0</v>
      </c>
      <c r="M108" s="528">
        <f>IF('New Hire'!N78=1,ROUND(25/10*M14%/365,5)*M18,0)+'UAT4-Apr'!M104</f>
        <v>0</v>
      </c>
      <c r="N108" s="528">
        <f>IF('New Hire'!O78=1,ROUND(25/10*N14%/365,5)*N18,0)+'UAT4-Apr'!N104</f>
        <v>0</v>
      </c>
      <c r="O108" s="528">
        <f>IF('New Hire'!P78=1,ROUND(25/10*O14%/365,5)*O18,0)+'UAT4-Apr'!O104</f>
        <v>0</v>
      </c>
      <c r="P108" s="339">
        <f t="shared" si="26"/>
        <v>0.69687999999999994</v>
      </c>
    </row>
    <row r="109" spans="1:16">
      <c r="A109" s="436" t="s">
        <v>780</v>
      </c>
      <c r="B109" s="526">
        <f>IF(B12="C",0,IF('New Hire'!C78=1,0,ROUND(5/5*B14%/365,5)*B18)+'UAT4-Apr'!B105)</f>
        <v>0.16441999999999996</v>
      </c>
      <c r="C109" s="526">
        <f>IF(C12="C",0,IF('New Hire'!D78=1,0,ROUND(5/5*C14%/365,5)*C18)+'UAT4-Apr'!C105)</f>
        <v>0</v>
      </c>
      <c r="D109" s="526">
        <f>IF(D12="C",0,IF('New Hire'!E78=1,0,ROUND(5/5*D14%/365,5)*D18)+'UAT4-Apr'!D105)</f>
        <v>0.14523999999999998</v>
      </c>
      <c r="E109" s="526">
        <f>IF(E12="C",0,IF('New Hire'!F78=1,0,ROUND(5/5*E14%/365,5)*E18)+'UAT4-Apr'!E105)</f>
        <v>0.16441999999999996</v>
      </c>
      <c r="F109" s="526">
        <f>IF(F12="C",0,IF('New Hire'!G78=1,0,ROUND(5/5*F14%/365,5)*F18)+'UAT4-Apr'!F105)</f>
        <v>0</v>
      </c>
      <c r="G109" s="526">
        <f>IF(G12="C",0,IF('New Hire'!H78=1,0,ROUND(5/5*G14%/365,5)*G16))</f>
        <v>4.4999999999999999E-4</v>
      </c>
      <c r="H109" s="526">
        <f>IF(H12="C",0,IF('New Hire'!I78=1,0,ROUND(5/5*H14%/365,5)*H18)+'UAT4-Apr'!H105)</f>
        <v>8.1749999999999989E-2</v>
      </c>
      <c r="I109" s="526">
        <f>IF(I12="C",0,IF('New Hire'!J78=1,0,ROUND(5/5*I14%/365,5)*I18)+'UAT4-Apr'!I105)</f>
        <v>8.7940000000000004E-2</v>
      </c>
      <c r="J109" s="526">
        <f>IF(J12="C",0,IF('New Hire'!K78=1,0,ROUND(5/5*J14%/365,5)*J18)+'UAT4-Apr'!J105)</f>
        <v>5.2680000000000012E-2</v>
      </c>
      <c r="K109" s="526">
        <f>IF(K12="C",0,IF('New Hire'!L78=1,0,ROUND(5/5*K14%/365,5)*K18)+'UAT4-Apr'!K105)</f>
        <v>0.16441999999999996</v>
      </c>
      <c r="L109" s="526">
        <f>IF(L12="C",0,IF('New Hire'!M78=1,0,ROUND(5/5*L14%/365,5)*L18)+'UAT4-Apr'!L105)</f>
        <v>0.16441999999999996</v>
      </c>
      <c r="M109" s="526">
        <f>IF(M12="C",0,IF('New Hire'!N78=1,0,ROUND(5/5*M14%/365,5)*M18)+'UAT4-Apr'!M105)</f>
        <v>0.16441999999999996</v>
      </c>
      <c r="N109" s="526">
        <f>IF(N12="C",0,IF('New Hire'!O78=1,0,ROUND(5/5*N14%/365,5)*N18)+'UAT4-Apr'!N105)</f>
        <v>0.16441999999999996</v>
      </c>
      <c r="O109" s="526">
        <f>IF(O12="C",0,IF('New Hire'!P78=1,0,ROUND(5/5*O14%/365,5)*O18)+'UAT4-Apr'!O105)</f>
        <v>9.3000000000000005E-4</v>
      </c>
      <c r="P109" s="339">
        <f t="shared" si="26"/>
        <v>1.35551</v>
      </c>
    </row>
    <row r="110" spans="1:16">
      <c r="A110" s="436"/>
      <c r="B110" s="526"/>
      <c r="C110" s="526"/>
      <c r="D110" s="526"/>
      <c r="E110" s="526"/>
      <c r="F110" s="526"/>
      <c r="G110" s="526"/>
      <c r="H110" s="526"/>
      <c r="I110" s="526"/>
      <c r="J110" s="526"/>
      <c r="K110" s="526"/>
      <c r="L110" s="526"/>
      <c r="M110" s="526"/>
      <c r="N110" s="526"/>
      <c r="O110" s="526"/>
      <c r="P110" s="339">
        <f t="shared" si="26"/>
        <v>0</v>
      </c>
    </row>
    <row r="111" spans="1:16" ht="15.6">
      <c r="A111" s="404" t="s">
        <v>622</v>
      </c>
      <c r="P111" s="339">
        <f t="shared" si="26"/>
        <v>0</v>
      </c>
    </row>
    <row r="112" spans="1:16">
      <c r="A112" s="436" t="s">
        <v>477</v>
      </c>
      <c r="B112" s="443">
        <f>'New Hire'!C32</f>
        <v>5000000</v>
      </c>
      <c r="C112" s="443">
        <f>'New Hire'!D32</f>
        <v>4500000</v>
      </c>
      <c r="D112" s="443">
        <f>'New Hire'!E32</f>
        <v>7000000</v>
      </c>
      <c r="E112" s="443">
        <f>'New Hire'!F32</f>
        <v>9000000</v>
      </c>
      <c r="F112" s="443">
        <f>'New Hire'!G32</f>
        <v>14000000</v>
      </c>
      <c r="G112" s="443">
        <f>3500*B5</f>
        <v>81217500</v>
      </c>
      <c r="H112" s="443">
        <f>'New Hire'!I32*B5</f>
        <v>116025000</v>
      </c>
      <c r="I112" s="443">
        <f>'New Hire'!J32*B5</f>
        <v>92820000</v>
      </c>
      <c r="J112" s="443">
        <f>'New Hire'!K32</f>
        <v>50000000</v>
      </c>
      <c r="K112" s="443">
        <f>'New Hire'!L32</f>
        <v>8000000</v>
      </c>
      <c r="L112" s="443">
        <f>'New Hire'!M32</f>
        <v>90000000</v>
      </c>
      <c r="M112" s="443">
        <f>'New Hire'!N32</f>
        <v>5000000</v>
      </c>
      <c r="N112" s="443">
        <f>'New Hire'!O32</f>
        <v>6500000</v>
      </c>
      <c r="O112" s="443">
        <v>6000000</v>
      </c>
      <c r="P112" s="339">
        <f t="shared" si="26"/>
        <v>495062500</v>
      </c>
    </row>
    <row r="113" spans="1:16">
      <c r="A113" s="436" t="s">
        <v>750</v>
      </c>
      <c r="B113" s="443"/>
      <c r="C113" s="443"/>
      <c r="D113" s="443"/>
      <c r="E113" s="443"/>
      <c r="F113" s="443"/>
      <c r="G113" s="443">
        <f>'New Hire'!H32*B5</f>
        <v>4641000</v>
      </c>
      <c r="H113" s="443"/>
      <c r="I113" s="443"/>
      <c r="J113" s="443"/>
      <c r="K113" s="443"/>
      <c r="L113" s="443"/>
      <c r="M113" s="443"/>
      <c r="N113" s="443"/>
      <c r="O113" s="443"/>
      <c r="P113" s="339">
        <f t="shared" si="26"/>
        <v>4641000</v>
      </c>
    </row>
    <row r="114" spans="1:16">
      <c r="A114" s="442" t="s">
        <v>494</v>
      </c>
      <c r="B114" s="443">
        <f>'New Hire'!C34</f>
        <v>500000</v>
      </c>
      <c r="C114" s="443">
        <f>'New Hire'!D34</f>
        <v>450000</v>
      </c>
      <c r="D114" s="443">
        <f>'New Hire'!E34</f>
        <v>700000</v>
      </c>
      <c r="E114" s="443">
        <f>'New Hire'!F34</f>
        <v>0</v>
      </c>
      <c r="F114" s="443">
        <f>'New Hire'!G34</f>
        <v>0</v>
      </c>
      <c r="G114" s="443">
        <f>'New Hire'!H34</f>
        <v>0</v>
      </c>
      <c r="H114" s="443">
        <f>'New Hire'!I34*B5</f>
        <v>11602500</v>
      </c>
      <c r="I114" s="443">
        <f>'New Hire'!J34</f>
        <v>0</v>
      </c>
      <c r="J114" s="443">
        <f>'New Hire'!K34</f>
        <v>5000000</v>
      </c>
      <c r="K114" s="443">
        <f>'New Hire'!L34</f>
        <v>800000</v>
      </c>
      <c r="L114" s="443">
        <f>'New Hire'!M34</f>
        <v>0</v>
      </c>
      <c r="M114" s="443">
        <f>'New Hire'!N34</f>
        <v>1000000</v>
      </c>
      <c r="N114" s="443">
        <f>'New Hire'!O34</f>
        <v>1000000</v>
      </c>
      <c r="O114" s="443">
        <f>'New Hire'!P34</f>
        <v>0</v>
      </c>
      <c r="P114" s="339">
        <f t="shared" si="26"/>
        <v>21052500</v>
      </c>
    </row>
    <row r="115" spans="1:16">
      <c r="A115" s="408" t="s">
        <v>566</v>
      </c>
      <c r="B115" s="443">
        <f>'New Hire'!C36</f>
        <v>1000000</v>
      </c>
      <c r="C115" s="443">
        <f>'New Hire'!D36</f>
        <v>900000</v>
      </c>
      <c r="D115" s="443">
        <f>'New Hire'!E36</f>
        <v>1400000</v>
      </c>
      <c r="E115" s="443">
        <f>'New Hire'!F36</f>
        <v>0</v>
      </c>
      <c r="F115" s="443">
        <f>'New Hire'!G36</f>
        <v>0</v>
      </c>
      <c r="G115" s="443">
        <f>'New Hire'!H36</f>
        <v>0</v>
      </c>
      <c r="H115" s="443">
        <f>'New Hire'!I36*B5</f>
        <v>23205000</v>
      </c>
      <c r="I115" s="443">
        <f>'New Hire'!J36</f>
        <v>0</v>
      </c>
      <c r="J115" s="443">
        <f>'New Hire'!K36</f>
        <v>10000000</v>
      </c>
      <c r="K115" s="443">
        <f>'New Hire'!L36</f>
        <v>1600000</v>
      </c>
      <c r="L115" s="443">
        <f>'New Hire'!M36</f>
        <v>0</v>
      </c>
      <c r="M115" s="443">
        <f>'New Hire'!N36</f>
        <v>1500000</v>
      </c>
      <c r="N115" s="443">
        <f>'New Hire'!O36</f>
        <v>1500000</v>
      </c>
      <c r="O115" s="443">
        <f>'New Hire'!P36</f>
        <v>0</v>
      </c>
      <c r="P115" s="339">
        <f t="shared" si="26"/>
        <v>41105000</v>
      </c>
    </row>
    <row r="116" spans="1:16">
      <c r="A116" s="416" t="s">
        <v>493</v>
      </c>
      <c r="B116" s="443"/>
      <c r="C116" s="443"/>
      <c r="D116" s="443"/>
      <c r="E116" s="443"/>
      <c r="F116" s="443"/>
      <c r="G116" s="444"/>
      <c r="H116" s="444"/>
      <c r="I116" s="444"/>
      <c r="J116" s="444"/>
      <c r="K116" s="444"/>
      <c r="L116" s="444"/>
      <c r="M116" s="444"/>
      <c r="N116" s="444"/>
      <c r="O116" s="444"/>
      <c r="P116" s="339">
        <f t="shared" si="26"/>
        <v>0</v>
      </c>
    </row>
    <row r="117" spans="1:16">
      <c r="A117" s="405" t="s">
        <v>528</v>
      </c>
      <c r="B117" s="443"/>
      <c r="C117" s="443"/>
      <c r="D117" s="443"/>
      <c r="E117" s="443"/>
      <c r="F117" s="446"/>
      <c r="G117" s="446"/>
      <c r="H117" s="446"/>
      <c r="I117" s="446"/>
      <c r="J117" s="446"/>
      <c r="K117" s="446"/>
      <c r="L117" s="446"/>
      <c r="M117" s="446"/>
      <c r="N117" s="446"/>
      <c r="O117" s="446"/>
      <c r="P117" s="339">
        <f t="shared" si="26"/>
        <v>0</v>
      </c>
    </row>
    <row r="118" spans="1:16">
      <c r="A118" s="416" t="s">
        <v>592</v>
      </c>
      <c r="B118" s="326"/>
      <c r="C118" s="326"/>
      <c r="D118" s="326"/>
      <c r="E118" s="326"/>
      <c r="F118" s="326"/>
      <c r="G118" s="334"/>
      <c r="H118" s="326"/>
      <c r="I118" s="326"/>
      <c r="J118" s="446"/>
      <c r="K118" s="446"/>
      <c r="L118" s="446"/>
      <c r="M118" s="446"/>
      <c r="N118" s="446"/>
      <c r="O118" s="446"/>
      <c r="P118" s="339">
        <f t="shared" si="26"/>
        <v>0</v>
      </c>
    </row>
    <row r="119" spans="1:16">
      <c r="A119" s="408" t="s">
        <v>491</v>
      </c>
      <c r="B119" s="443"/>
      <c r="C119" s="326"/>
      <c r="D119" s="326"/>
      <c r="E119" s="447"/>
      <c r="F119" s="334"/>
      <c r="G119" s="334"/>
      <c r="H119" s="326"/>
      <c r="I119" s="326"/>
      <c r="J119" s="446"/>
      <c r="K119" s="326"/>
      <c r="L119" s="446"/>
      <c r="M119" s="446"/>
      <c r="N119" s="446"/>
      <c r="O119" s="446"/>
      <c r="P119" s="339">
        <f t="shared" si="26"/>
        <v>0</v>
      </c>
    </row>
    <row r="120" spans="1:16">
      <c r="A120" s="408" t="s">
        <v>497</v>
      </c>
      <c r="B120" s="443"/>
      <c r="C120" s="443"/>
      <c r="D120" s="443"/>
      <c r="E120" s="447"/>
      <c r="F120" s="334"/>
      <c r="G120" s="334"/>
      <c r="H120" s="326"/>
      <c r="I120" s="326"/>
      <c r="J120" s="446"/>
      <c r="K120" s="446"/>
      <c r="L120" s="446"/>
      <c r="M120" s="446"/>
      <c r="N120" s="446"/>
      <c r="O120" s="446"/>
      <c r="P120" s="339">
        <f t="shared" si="26"/>
        <v>0</v>
      </c>
    </row>
    <row r="121" spans="1:16">
      <c r="A121" s="6" t="s">
        <v>623</v>
      </c>
      <c r="B121" s="443"/>
      <c r="C121" s="443"/>
      <c r="D121" s="443"/>
      <c r="E121" s="447"/>
      <c r="F121" s="334"/>
      <c r="G121" s="334"/>
      <c r="H121" s="326"/>
      <c r="I121" s="326"/>
      <c r="J121" s="446"/>
      <c r="K121" s="446"/>
      <c r="L121" s="446"/>
      <c r="M121" s="446"/>
      <c r="N121" s="446"/>
      <c r="O121" s="446"/>
      <c r="P121" s="339">
        <f t="shared" si="26"/>
        <v>0</v>
      </c>
    </row>
    <row r="122" spans="1:16">
      <c r="A122" s="6" t="s">
        <v>624</v>
      </c>
      <c r="B122" s="443"/>
      <c r="C122" s="443"/>
      <c r="D122" s="443"/>
      <c r="E122" s="447"/>
      <c r="F122" s="334"/>
      <c r="G122" s="334"/>
      <c r="H122" s="326"/>
      <c r="I122" s="326"/>
      <c r="J122" s="446"/>
      <c r="K122" s="446"/>
      <c r="L122" s="446"/>
      <c r="M122" s="446"/>
      <c r="N122" s="446"/>
      <c r="O122" s="446"/>
      <c r="P122" s="339">
        <f t="shared" si="26"/>
        <v>0</v>
      </c>
    </row>
    <row r="123" spans="1:16">
      <c r="A123" s="6" t="s">
        <v>625</v>
      </c>
      <c r="B123" s="443"/>
      <c r="C123" s="443"/>
      <c r="D123" s="443"/>
      <c r="E123" s="443"/>
      <c r="F123" s="446"/>
      <c r="G123" s="447"/>
      <c r="H123" s="334"/>
      <c r="I123" s="334"/>
      <c r="J123" s="326"/>
      <c r="K123" s="326"/>
      <c r="L123" s="334"/>
      <c r="M123" s="446"/>
      <c r="N123" s="446"/>
      <c r="O123" s="446"/>
      <c r="P123" s="339">
        <f t="shared" si="26"/>
        <v>0</v>
      </c>
    </row>
    <row r="124" spans="1:16">
      <c r="A124" s="405" t="s">
        <v>606</v>
      </c>
      <c r="B124" s="443"/>
      <c r="C124" s="443"/>
      <c r="D124" s="443"/>
      <c r="E124" s="443"/>
      <c r="F124" s="446"/>
      <c r="G124" s="447">
        <f>100*B5</f>
        <v>2320500</v>
      </c>
      <c r="H124" s="334">
        <f>100*B5</f>
        <v>2320500</v>
      </c>
      <c r="I124" s="334">
        <f>100*B5</f>
        <v>2320500</v>
      </c>
      <c r="J124" s="326"/>
      <c r="K124" s="446"/>
      <c r="L124" s="334"/>
      <c r="M124" s="446"/>
      <c r="N124" s="446"/>
      <c r="O124" s="446"/>
      <c r="P124" s="339">
        <f t="shared" si="26"/>
        <v>6961500</v>
      </c>
    </row>
    <row r="125" spans="1:16">
      <c r="A125" s="405" t="s">
        <v>607</v>
      </c>
      <c r="B125" s="443"/>
      <c r="C125" s="443"/>
      <c r="D125" s="443"/>
      <c r="E125" s="443"/>
      <c r="F125" s="446"/>
      <c r="G125" s="447">
        <f>200*B5</f>
        <v>4641000</v>
      </c>
      <c r="H125" s="334">
        <f>200*B5</f>
        <v>4641000</v>
      </c>
      <c r="I125" s="334">
        <f>200*B5</f>
        <v>4641000</v>
      </c>
      <c r="J125" s="326"/>
      <c r="K125" s="446"/>
      <c r="L125" s="334"/>
      <c r="M125" s="446"/>
      <c r="N125" s="446"/>
      <c r="O125" s="446"/>
      <c r="P125" s="339">
        <f t="shared" si="26"/>
        <v>13923000</v>
      </c>
    </row>
    <row r="126" spans="1:16">
      <c r="A126" s="6" t="s">
        <v>1262</v>
      </c>
      <c r="B126" s="443">
        <f>B112-B124-B125</f>
        <v>5000000</v>
      </c>
      <c r="C126" s="443">
        <f t="shared" ref="C126:O126" si="34">C112-C124-C125</f>
        <v>4500000</v>
      </c>
      <c r="D126" s="443">
        <f t="shared" si="34"/>
        <v>7000000</v>
      </c>
      <c r="E126" s="443">
        <f t="shared" si="34"/>
        <v>9000000</v>
      </c>
      <c r="F126" s="443">
        <f t="shared" si="34"/>
        <v>14000000</v>
      </c>
      <c r="G126" s="443">
        <f t="shared" si="34"/>
        <v>74256000</v>
      </c>
      <c r="H126" s="443">
        <f t="shared" si="34"/>
        <v>109063500</v>
      </c>
      <c r="I126" s="443">
        <f t="shared" si="34"/>
        <v>85858500</v>
      </c>
      <c r="J126" s="443">
        <f t="shared" si="34"/>
        <v>50000000</v>
      </c>
      <c r="K126" s="443">
        <f t="shared" si="34"/>
        <v>8000000</v>
      </c>
      <c r="L126" s="443">
        <f t="shared" si="34"/>
        <v>90000000</v>
      </c>
      <c r="M126" s="443">
        <f t="shared" si="34"/>
        <v>5000000</v>
      </c>
      <c r="N126" s="443">
        <f t="shared" si="34"/>
        <v>6500000</v>
      </c>
      <c r="O126" s="443">
        <f t="shared" si="34"/>
        <v>6000000</v>
      </c>
      <c r="P126" s="339">
        <f t="shared" si="26"/>
        <v>474178000</v>
      </c>
    </row>
    <row r="127" spans="1:16">
      <c r="A127" s="6" t="s">
        <v>1261</v>
      </c>
      <c r="B127" s="443">
        <f t="shared" ref="B127:O127" si="35">B112-ROUND(B124/B14,0)-ROUND(B125/B14,0)</f>
        <v>5000000</v>
      </c>
      <c r="C127" s="443">
        <f t="shared" si="35"/>
        <v>4500000</v>
      </c>
      <c r="D127" s="443">
        <f t="shared" si="35"/>
        <v>7000000</v>
      </c>
      <c r="E127" s="443">
        <f t="shared" si="35"/>
        <v>9000000</v>
      </c>
      <c r="F127" s="443">
        <f t="shared" si="35"/>
        <v>14000000</v>
      </c>
      <c r="G127" s="443">
        <f t="shared" si="35"/>
        <v>74256000</v>
      </c>
      <c r="H127" s="443">
        <f t="shared" si="35"/>
        <v>102102000</v>
      </c>
      <c r="I127" s="443">
        <f t="shared" si="35"/>
        <v>83538000</v>
      </c>
      <c r="J127" s="443">
        <f t="shared" si="35"/>
        <v>50000000</v>
      </c>
      <c r="K127" s="443">
        <f t="shared" si="35"/>
        <v>8000000</v>
      </c>
      <c r="L127" s="443">
        <f t="shared" si="35"/>
        <v>90000000</v>
      </c>
      <c r="M127" s="443">
        <f t="shared" si="35"/>
        <v>5000000</v>
      </c>
      <c r="N127" s="443">
        <f t="shared" si="35"/>
        <v>6500000</v>
      </c>
      <c r="O127" s="443">
        <f t="shared" si="35"/>
        <v>6000000</v>
      </c>
      <c r="P127" s="339"/>
    </row>
    <row r="128" spans="1:16">
      <c r="A128" s="6" t="s">
        <v>628</v>
      </c>
      <c r="B128" s="443">
        <f t="shared" ref="B128:O128" si="36">MIN(IF(OR(B21="A",B21="B"),0,ROUND((B127+B114+B115+B117)*B14/$B$5,0))*$B$6,27800000)</f>
        <v>0</v>
      </c>
      <c r="C128" s="443">
        <f t="shared" si="36"/>
        <v>0</v>
      </c>
      <c r="D128" s="443">
        <f t="shared" si="36"/>
        <v>0</v>
      </c>
      <c r="E128" s="443">
        <f t="shared" si="36"/>
        <v>0</v>
      </c>
      <c r="F128" s="443">
        <f t="shared" si="36"/>
        <v>0</v>
      </c>
      <c r="G128" s="443">
        <f t="shared" si="36"/>
        <v>27800000</v>
      </c>
      <c r="H128" s="443">
        <f t="shared" si="36"/>
        <v>27800000</v>
      </c>
      <c r="I128" s="443">
        <f t="shared" si="36"/>
        <v>27800000</v>
      </c>
      <c r="J128" s="443">
        <f t="shared" si="36"/>
        <v>0</v>
      </c>
      <c r="K128" s="443">
        <f t="shared" si="36"/>
        <v>0</v>
      </c>
      <c r="L128" s="443">
        <f t="shared" si="36"/>
        <v>0</v>
      </c>
      <c r="M128" s="443">
        <f t="shared" si="36"/>
        <v>0</v>
      </c>
      <c r="N128" s="443">
        <f t="shared" si="36"/>
        <v>0</v>
      </c>
      <c r="O128" s="443">
        <f t="shared" si="36"/>
        <v>0</v>
      </c>
      <c r="P128" s="339">
        <f t="shared" si="26"/>
        <v>83400000</v>
      </c>
    </row>
    <row r="129" spans="1:16">
      <c r="A129" s="6" t="s">
        <v>1201</v>
      </c>
      <c r="B129" s="443">
        <f t="shared" ref="B129:O129" si="37">IF(OR(B21="A",B21="B"),0,ROUND((B127+B114+B115+B117)*B14/$B$5,0))*$B$6</f>
        <v>0</v>
      </c>
      <c r="C129" s="443">
        <f t="shared" si="37"/>
        <v>0</v>
      </c>
      <c r="D129" s="443">
        <f t="shared" si="37"/>
        <v>0</v>
      </c>
      <c r="E129" s="443">
        <f t="shared" si="37"/>
        <v>0</v>
      </c>
      <c r="F129" s="443">
        <f t="shared" si="37"/>
        <v>0</v>
      </c>
      <c r="G129" s="443">
        <f t="shared" si="37"/>
        <v>75200000</v>
      </c>
      <c r="H129" s="443">
        <f t="shared" si="37"/>
        <v>69325000</v>
      </c>
      <c r="I129" s="443">
        <f t="shared" si="37"/>
        <v>63450000</v>
      </c>
      <c r="J129" s="443">
        <f t="shared" si="37"/>
        <v>0</v>
      </c>
      <c r="K129" s="443">
        <f t="shared" si="37"/>
        <v>0</v>
      </c>
      <c r="L129" s="443">
        <f t="shared" si="37"/>
        <v>0</v>
      </c>
      <c r="M129" s="443">
        <f t="shared" si="37"/>
        <v>0</v>
      </c>
      <c r="N129" s="443">
        <f t="shared" si="37"/>
        <v>0</v>
      </c>
      <c r="O129" s="443">
        <f t="shared" si="37"/>
        <v>0</v>
      </c>
      <c r="P129" s="339">
        <f t="shared" si="26"/>
        <v>207975000</v>
      </c>
    </row>
    <row r="130" spans="1:16">
      <c r="A130" s="6" t="s">
        <v>657</v>
      </c>
      <c r="B130" s="5">
        <v>0</v>
      </c>
      <c r="C130" s="5">
        <v>0</v>
      </c>
      <c r="D130" s="5">
        <v>0</v>
      </c>
      <c r="E130" s="5">
        <v>0</v>
      </c>
      <c r="F130" s="5">
        <v>0</v>
      </c>
      <c r="G130" s="5">
        <v>0</v>
      </c>
      <c r="H130" s="5">
        <v>0</v>
      </c>
      <c r="I130" s="5">
        <v>0</v>
      </c>
      <c r="J130" s="5">
        <v>0</v>
      </c>
      <c r="K130" s="5">
        <v>0</v>
      </c>
      <c r="L130" s="5">
        <v>0</v>
      </c>
      <c r="M130" s="5">
        <v>0</v>
      </c>
      <c r="N130" s="5">
        <v>0</v>
      </c>
      <c r="O130" s="5">
        <v>0</v>
      </c>
      <c r="P130" s="339">
        <f t="shared" si="26"/>
        <v>0</v>
      </c>
    </row>
  </sheetData>
  <mergeCells count="8">
    <mergeCell ref="P8:P9"/>
    <mergeCell ref="X10:AA13"/>
    <mergeCell ref="X41:AA41"/>
    <mergeCell ref="G4:G6"/>
    <mergeCell ref="H4:H6"/>
    <mergeCell ref="O4:O6"/>
    <mergeCell ref="G7:J7"/>
    <mergeCell ref="X7:AA7"/>
  </mergeCells>
  <phoneticPr fontId="104" type="noConversion"/>
  <pageMargins left="0.75" right="0.75" top="1" bottom="1" header="0.5" footer="0.5"/>
  <pageSetup paperSize="9" orientation="portrait" verticalDpi="90" r:id="rId1"/>
  <headerFooter alignWithMargins="0"/>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E167"/>
  <sheetViews>
    <sheetView workbookViewId="0">
      <pane xSplit="1" ySplit="9" topLeftCell="B148" activePane="bottomRight" state="frozen"/>
      <selection pane="topRight" activeCell="B1" sqref="B1"/>
      <selection pane="bottomLeft" activeCell="A10" sqref="A10"/>
      <selection pane="bottomRight" activeCell="O119" sqref="O119"/>
    </sheetView>
  </sheetViews>
  <sheetFormatPr defaultRowHeight="13.8"/>
  <cols>
    <col min="1" max="1" width="31" style="5" bestFit="1" customWidth="1"/>
    <col min="2" max="5" width="10.77734375" style="5" customWidth="1"/>
    <col min="6" max="8" width="10.77734375" customWidth="1"/>
    <col min="9" max="9" width="11.6640625" bestFit="1" customWidth="1"/>
    <col min="10" max="15" width="10.77734375" customWidth="1"/>
    <col min="16" max="16" width="12.6640625" bestFit="1" customWidth="1"/>
    <col min="17" max="18" width="12.77734375" customWidth="1"/>
    <col min="19" max="21" width="10.77734375" customWidth="1"/>
    <col min="22" max="26" width="9.33203125" style="5" customWidth="1"/>
    <col min="27" max="27" width="10.77734375" style="5" bestFit="1" customWidth="1"/>
    <col min="28" max="29" width="9.33203125" style="5" customWidth="1"/>
  </cols>
  <sheetData>
    <row r="1" spans="1:29" s="3" customFormat="1" ht="20.399999999999999">
      <c r="A1" s="104" t="s">
        <v>6</v>
      </c>
      <c r="B1" s="104"/>
      <c r="C1" s="104"/>
      <c r="D1" s="104"/>
      <c r="E1" s="104"/>
      <c r="F1" s="440"/>
      <c r="L1" s="8"/>
      <c r="X1" s="1"/>
      <c r="Y1" s="1"/>
      <c r="Z1" s="1"/>
      <c r="AA1" s="1"/>
      <c r="AB1" s="1"/>
      <c r="AC1" s="1"/>
    </row>
    <row r="2" spans="1:29" s="3" customFormat="1" ht="12.75" customHeight="1">
      <c r="B2" s="110"/>
      <c r="C2" s="110"/>
      <c r="D2" s="110"/>
      <c r="E2" s="109"/>
      <c r="V2" s="22"/>
      <c r="W2" s="22"/>
      <c r="X2" s="22"/>
      <c r="Y2" s="22"/>
      <c r="Z2" s="22"/>
      <c r="AA2" s="2"/>
      <c r="AC2" s="2"/>
    </row>
    <row r="3" spans="1:29" s="3" customFormat="1" ht="30">
      <c r="A3" s="106" t="s">
        <v>1139</v>
      </c>
      <c r="B3" s="110"/>
      <c r="C3" s="110"/>
      <c r="D3" s="110"/>
      <c r="E3" s="106"/>
      <c r="V3" s="22"/>
      <c r="W3" s="22"/>
      <c r="X3" s="22"/>
      <c r="Y3" s="22"/>
      <c r="Z3" s="22"/>
      <c r="AA3" s="2"/>
      <c r="AC3" s="2"/>
    </row>
    <row r="4" spans="1:29" s="110" customFormat="1">
      <c r="A4" s="110" t="s">
        <v>1265</v>
      </c>
      <c r="B4" s="361">
        <v>23205</v>
      </c>
    </row>
    <row r="5" spans="1:29" s="110" customFormat="1">
      <c r="A5" s="110" t="s">
        <v>1268</v>
      </c>
      <c r="B5" s="361">
        <v>23500</v>
      </c>
    </row>
    <row r="6" spans="1:29" s="3" customFormat="1" ht="18" customHeight="1">
      <c r="A6" s="321">
        <v>43646</v>
      </c>
      <c r="B6" s="110"/>
      <c r="C6" s="110"/>
      <c r="D6" s="110"/>
      <c r="G6" s="748" t="s">
        <v>52</v>
      </c>
      <c r="H6" s="748"/>
      <c r="I6" s="748"/>
      <c r="J6" s="748"/>
      <c r="V6" s="22"/>
      <c r="W6" s="22"/>
      <c r="X6" s="747" t="s">
        <v>65</v>
      </c>
      <c r="Y6" s="747"/>
      <c r="Z6" s="747"/>
      <c r="AA6" s="747"/>
      <c r="AB6" s="2"/>
      <c r="AC6" s="2"/>
    </row>
    <row r="7" spans="1:29" s="4" customFormat="1">
      <c r="A7" s="402"/>
      <c r="B7" s="317" t="s">
        <v>34</v>
      </c>
      <c r="C7" s="318" t="s">
        <v>35</v>
      </c>
      <c r="D7" s="511" t="s">
        <v>36</v>
      </c>
      <c r="E7" s="511" t="s">
        <v>37</v>
      </c>
      <c r="F7" s="318" t="s">
        <v>38</v>
      </c>
      <c r="G7" s="318" t="s">
        <v>39</v>
      </c>
      <c r="H7" s="318" t="s">
        <v>40</v>
      </c>
      <c r="I7" s="318" t="s">
        <v>41</v>
      </c>
      <c r="J7" s="318" t="s">
        <v>42</v>
      </c>
      <c r="K7" s="318" t="s">
        <v>43</v>
      </c>
      <c r="L7" s="318" t="s">
        <v>44</v>
      </c>
      <c r="M7" s="511" t="s">
        <v>45</v>
      </c>
      <c r="N7" s="511" t="s">
        <v>46</v>
      </c>
      <c r="O7" s="511" t="s">
        <v>47</v>
      </c>
      <c r="P7" s="758" t="s">
        <v>498</v>
      </c>
      <c r="Q7" s="343" t="s">
        <v>514</v>
      </c>
      <c r="R7" s="343" t="s">
        <v>515</v>
      </c>
      <c r="S7" s="343" t="s">
        <v>517</v>
      </c>
      <c r="T7" s="343" t="s">
        <v>519</v>
      </c>
      <c r="U7" s="343" t="s">
        <v>521</v>
      </c>
      <c r="V7" s="344"/>
      <c r="W7" s="345"/>
      <c r="X7" s="345"/>
      <c r="Y7" s="345"/>
      <c r="Z7" s="345"/>
      <c r="AA7" s="345"/>
      <c r="AB7" s="345"/>
      <c r="AC7" s="346"/>
    </row>
    <row r="8" spans="1:29" ht="15.6">
      <c r="A8" s="403"/>
      <c r="B8" s="111">
        <f>'New Hire'!C6</f>
        <v>91999901</v>
      </c>
      <c r="C8" s="333">
        <f>'New Hire'!D6</f>
        <v>91999902</v>
      </c>
      <c r="D8" s="512">
        <f>'New Hire'!E6</f>
        <v>91999903</v>
      </c>
      <c r="E8" s="512">
        <f>'New Hire'!F6</f>
        <v>91999904</v>
      </c>
      <c r="F8" s="333">
        <f>'New Hire'!G6</f>
        <v>91999905</v>
      </c>
      <c r="G8" s="333">
        <f>'New Hire'!H6</f>
        <v>91999906</v>
      </c>
      <c r="H8" s="333">
        <f>'New Hire'!I6</f>
        <v>91999907</v>
      </c>
      <c r="I8" s="333">
        <f>'New Hire'!J6</f>
        <v>91999908</v>
      </c>
      <c r="J8" s="333">
        <f>'New Hire'!K6</f>
        <v>91999909</v>
      </c>
      <c r="K8" s="333">
        <f>'New Hire'!L6</f>
        <v>91999910</v>
      </c>
      <c r="L8" s="333">
        <f>'New Hire'!M6</f>
        <v>91999911</v>
      </c>
      <c r="M8" s="512">
        <f>'New Hire'!N6</f>
        <v>91999912</v>
      </c>
      <c r="N8" s="512">
        <f>'New Hire'!O6</f>
        <v>91999913</v>
      </c>
      <c r="O8" s="512">
        <f>'New Hire'!P6</f>
        <v>91999914</v>
      </c>
      <c r="P8" s="759"/>
      <c r="Q8" s="343" t="s">
        <v>513</v>
      </c>
      <c r="R8" s="343" t="s">
        <v>516</v>
      </c>
      <c r="S8" s="343" t="s">
        <v>518</v>
      </c>
      <c r="T8" s="343" t="s">
        <v>520</v>
      </c>
      <c r="U8" s="343" t="s">
        <v>522</v>
      </c>
      <c r="V8" s="47"/>
      <c r="W8" s="48"/>
      <c r="X8" s="20"/>
      <c r="Y8" s="20"/>
      <c r="Z8" s="20"/>
      <c r="AA8" s="20"/>
      <c r="AB8" s="20"/>
      <c r="AC8" s="15"/>
    </row>
    <row r="9" spans="1:29" ht="12.75" customHeight="1">
      <c r="A9" s="404" t="s">
        <v>63</v>
      </c>
      <c r="B9" s="23"/>
      <c r="C9" s="19"/>
      <c r="D9" s="19"/>
      <c r="E9" s="20"/>
      <c r="F9" s="19"/>
      <c r="G9" s="19"/>
      <c r="H9" s="21"/>
      <c r="I9" s="19"/>
      <c r="J9" s="19"/>
      <c r="K9" s="20"/>
      <c r="L9" s="20"/>
      <c r="M9" s="20"/>
      <c r="N9" s="20"/>
      <c r="O9" s="15"/>
      <c r="P9" s="15"/>
      <c r="Q9" s="20"/>
      <c r="R9" s="20"/>
      <c r="S9" s="20"/>
      <c r="T9" s="20"/>
      <c r="U9" s="20"/>
      <c r="V9" s="25"/>
      <c r="W9" s="26"/>
      <c r="X9" s="749" t="s">
        <v>601</v>
      </c>
      <c r="Y9" s="750"/>
      <c r="Z9" s="750"/>
      <c r="AA9" s="751"/>
      <c r="AB9" s="27"/>
      <c r="AC9" s="18"/>
    </row>
    <row r="10" spans="1:29">
      <c r="A10" s="417" t="s">
        <v>478</v>
      </c>
      <c r="B10" s="379">
        <v>43617</v>
      </c>
      <c r="C10" s="379">
        <v>43617</v>
      </c>
      <c r="D10" s="379">
        <v>43617</v>
      </c>
      <c r="E10" s="379">
        <v>43617</v>
      </c>
      <c r="F10" s="379">
        <v>43617</v>
      </c>
      <c r="G10" s="379">
        <v>43617</v>
      </c>
      <c r="H10" s="379">
        <v>43617</v>
      </c>
      <c r="I10" s="379">
        <v>43617</v>
      </c>
      <c r="J10" s="379">
        <v>43617</v>
      </c>
      <c r="K10" s="379">
        <v>43617</v>
      </c>
      <c r="L10" s="379">
        <v>43617</v>
      </c>
      <c r="M10" s="379">
        <v>43617</v>
      </c>
      <c r="N10" s="379">
        <v>43617</v>
      </c>
      <c r="O10" s="380">
        <v>43617</v>
      </c>
      <c r="P10" s="15"/>
      <c r="Q10" s="20"/>
      <c r="R10" s="20"/>
      <c r="S10" s="20"/>
      <c r="T10" s="20"/>
      <c r="U10" s="20"/>
      <c r="V10" s="28"/>
      <c r="W10" s="29"/>
      <c r="X10" s="752"/>
      <c r="Y10" s="753"/>
      <c r="Z10" s="753"/>
      <c r="AA10" s="754"/>
      <c r="AB10" s="30"/>
      <c r="AC10" s="15"/>
    </row>
    <row r="11" spans="1:29" ht="12.75" customHeight="1">
      <c r="A11" s="473" t="s">
        <v>708</v>
      </c>
      <c r="B11" s="474">
        <v>43617</v>
      </c>
      <c r="C11" s="474">
        <v>43617</v>
      </c>
      <c r="D11" s="474">
        <v>43617</v>
      </c>
      <c r="E11" s="474">
        <v>43633</v>
      </c>
      <c r="F11" s="474">
        <v>43617</v>
      </c>
      <c r="G11" s="474">
        <v>43617</v>
      </c>
      <c r="H11" s="474">
        <v>43617</v>
      </c>
      <c r="I11" s="474">
        <v>43617</v>
      </c>
      <c r="J11" s="474">
        <v>43617</v>
      </c>
      <c r="K11" s="474">
        <v>43617</v>
      </c>
      <c r="L11" s="474">
        <v>43617</v>
      </c>
      <c r="M11" s="474">
        <v>43619</v>
      </c>
      <c r="N11" s="474">
        <v>43617</v>
      </c>
      <c r="O11" s="474">
        <v>43633</v>
      </c>
      <c r="P11" s="336"/>
      <c r="Q11" s="20"/>
      <c r="R11" s="20"/>
      <c r="S11" s="20"/>
      <c r="T11" s="20"/>
      <c r="U11" s="20"/>
      <c r="V11" s="32"/>
      <c r="W11" s="20"/>
      <c r="X11" s="752"/>
      <c r="Y11" s="753"/>
      <c r="Z11" s="753"/>
      <c r="AA11" s="754"/>
      <c r="AB11" s="20"/>
      <c r="AC11" s="15"/>
    </row>
    <row r="12" spans="1:29" ht="12.75" customHeight="1">
      <c r="A12" s="473" t="s">
        <v>1123</v>
      </c>
      <c r="B12" s="474"/>
      <c r="C12" s="474"/>
      <c r="D12" s="474">
        <v>43623</v>
      </c>
      <c r="E12" s="474"/>
      <c r="F12" s="474"/>
      <c r="G12" s="474"/>
      <c r="H12" s="474"/>
      <c r="I12" s="474"/>
      <c r="J12" s="474"/>
      <c r="K12" s="474"/>
      <c r="L12" s="474"/>
      <c r="M12" s="474"/>
      <c r="N12" s="474"/>
      <c r="O12" s="474"/>
      <c r="P12" s="336"/>
      <c r="Q12" s="20"/>
      <c r="R12" s="20"/>
      <c r="S12" s="20"/>
      <c r="T12" s="20"/>
      <c r="U12" s="20"/>
      <c r="V12" s="32"/>
      <c r="W12" s="20"/>
      <c r="X12" s="755"/>
      <c r="Y12" s="756"/>
      <c r="Z12" s="756"/>
      <c r="AA12" s="757"/>
      <c r="AB12" s="20"/>
      <c r="AC12" s="15"/>
    </row>
    <row r="13" spans="1:29">
      <c r="A13" s="417" t="s">
        <v>489</v>
      </c>
      <c r="B13" s="382" t="s">
        <v>1337</v>
      </c>
      <c r="C13" s="382" t="s">
        <v>1338</v>
      </c>
      <c r="D13" s="382" t="s">
        <v>1339</v>
      </c>
      <c r="E13" s="689" t="s">
        <v>1339</v>
      </c>
      <c r="F13" s="382">
        <v>4</v>
      </c>
      <c r="G13" s="382" t="s">
        <v>1337</v>
      </c>
      <c r="H13" s="382" t="s">
        <v>1340</v>
      </c>
      <c r="I13" s="382" t="s">
        <v>1341</v>
      </c>
      <c r="J13" s="382" t="s">
        <v>1338</v>
      </c>
      <c r="K13" s="382" t="s">
        <v>1337</v>
      </c>
      <c r="L13" s="382" t="s">
        <v>1337</v>
      </c>
      <c r="M13" s="382">
        <v>3</v>
      </c>
      <c r="N13" s="382">
        <v>3</v>
      </c>
      <c r="O13" s="684" t="s">
        <v>1337</v>
      </c>
      <c r="P13" s="336"/>
      <c r="Q13" s="20"/>
      <c r="R13" s="20"/>
      <c r="S13" s="20"/>
      <c r="T13" s="20"/>
      <c r="U13" s="20"/>
      <c r="V13" s="23"/>
      <c r="W13" s="19"/>
      <c r="X13" s="19"/>
      <c r="Y13" s="19"/>
      <c r="Z13" s="19"/>
      <c r="AA13" s="19"/>
      <c r="AB13" s="19"/>
      <c r="AC13" s="31"/>
    </row>
    <row r="14" spans="1:29">
      <c r="A14" s="417" t="s">
        <v>490</v>
      </c>
      <c r="B14" s="385" t="str">
        <f>'UAT5-May'!B13</f>
        <v>;P</v>
      </c>
      <c r="C14" s="385" t="str">
        <f>'UAT5-May'!C13</f>
        <v>;A</v>
      </c>
      <c r="D14" s="385" t="str">
        <f>'UAT5-May'!D13</f>
        <v>;E</v>
      </c>
      <c r="E14" s="385" t="str">
        <f>'UAT5-May'!E13</f>
        <v>;I</v>
      </c>
      <c r="F14" s="385" t="str">
        <f>'UAT5-May'!F13</f>
        <v>;P</v>
      </c>
      <c r="G14" s="385" t="str">
        <f>'UAT5-May'!G13</f>
        <v>;A</v>
      </c>
      <c r="H14" s="385" t="str">
        <f>'UAT5-May'!H13</f>
        <v>;A</v>
      </c>
      <c r="I14" s="385" t="str">
        <f>'UAT5-May'!I13</f>
        <v>;V</v>
      </c>
      <c r="J14" s="385" t="str">
        <f>'UAT5-May'!J13</f>
        <v>;P</v>
      </c>
      <c r="K14" s="385" t="str">
        <f>'UAT5-May'!K13</f>
        <v>;A</v>
      </c>
      <c r="L14" s="385" t="str">
        <f>'UAT5-May'!L13</f>
        <v>;I</v>
      </c>
      <c r="M14" s="385" t="str">
        <f>'UAT5-May'!M13</f>
        <v>;P</v>
      </c>
      <c r="N14" s="385" t="str">
        <f>'UAT5-May'!N13</f>
        <v>;P</v>
      </c>
      <c r="O14" s="385" t="str">
        <f>'UAT5-May'!O13</f>
        <v>;I</v>
      </c>
      <c r="P14" s="336"/>
      <c r="Q14" s="20"/>
      <c r="R14" s="20"/>
      <c r="S14" s="20"/>
      <c r="T14" s="20"/>
      <c r="U14" s="20"/>
      <c r="V14" s="23"/>
      <c r="W14" s="19"/>
      <c r="X14" s="19"/>
      <c r="Y14" s="19"/>
      <c r="Z14" s="19"/>
      <c r="AA14" s="19"/>
      <c r="AB14" s="19"/>
      <c r="AC14" s="31"/>
    </row>
    <row r="15" spans="1:29">
      <c r="A15" s="448" t="s">
        <v>476</v>
      </c>
      <c r="B15" s="649">
        <f>'New Hire'!C27</f>
        <v>1</v>
      </c>
      <c r="C15" s="649">
        <f>'New Hire'!D27</f>
        <v>0.9</v>
      </c>
      <c r="D15" s="649">
        <f>'New Hire'!E27</f>
        <v>1</v>
      </c>
      <c r="E15" s="649">
        <f>'New Hire'!F27</f>
        <v>1</v>
      </c>
      <c r="F15" s="649">
        <f>'New Hire'!G27</f>
        <v>0.8</v>
      </c>
      <c r="G15" s="649">
        <f>'New Hire'!H27</f>
        <v>1</v>
      </c>
      <c r="H15" s="649">
        <f>'New Hire'!I27</f>
        <v>0.5</v>
      </c>
      <c r="I15" s="649">
        <f>'New Hire'!J27</f>
        <v>0.75</v>
      </c>
      <c r="J15" s="649">
        <f>'New Hire'!K27</f>
        <v>0.6</v>
      </c>
      <c r="K15" s="649">
        <f>'New Hire'!L27</f>
        <v>1</v>
      </c>
      <c r="L15" s="649">
        <f>'New Hire'!M27</f>
        <v>1</v>
      </c>
      <c r="M15" s="649">
        <f>'New Hire'!N27</f>
        <v>1</v>
      </c>
      <c r="N15" s="649">
        <f>'New Hire'!O27</f>
        <v>1</v>
      </c>
      <c r="O15" s="649">
        <f>'New Hire'!P27</f>
        <v>1</v>
      </c>
      <c r="P15" s="336"/>
      <c r="Q15" s="20"/>
      <c r="R15" s="20"/>
      <c r="S15" s="20"/>
      <c r="T15" s="20"/>
      <c r="U15" s="20"/>
      <c r="V15" s="23"/>
      <c r="W15" s="19"/>
      <c r="X15" s="19"/>
      <c r="Y15" s="19"/>
      <c r="Z15" s="19"/>
      <c r="AA15" s="19"/>
      <c r="AB15" s="19"/>
      <c r="AC15" s="31"/>
    </row>
    <row r="16" spans="1:29">
      <c r="A16" s="448" t="s">
        <v>476</v>
      </c>
      <c r="B16" s="649">
        <v>1</v>
      </c>
      <c r="C16" s="649">
        <v>0.9</v>
      </c>
      <c r="D16" s="649">
        <v>1</v>
      </c>
      <c r="E16" s="649">
        <v>1</v>
      </c>
      <c r="F16" s="649">
        <v>0.8</v>
      </c>
      <c r="G16" s="649">
        <v>1</v>
      </c>
      <c r="H16" s="649">
        <v>0.5</v>
      </c>
      <c r="I16" s="649">
        <v>0.75</v>
      </c>
      <c r="J16" s="649">
        <v>0.6</v>
      </c>
      <c r="K16" s="649">
        <v>1</v>
      </c>
      <c r="L16" s="649">
        <v>1</v>
      </c>
      <c r="M16" s="649">
        <v>1</v>
      </c>
      <c r="N16" s="649">
        <v>1</v>
      </c>
      <c r="O16" s="688">
        <v>0.75</v>
      </c>
      <c r="P16" s="336"/>
      <c r="Q16" s="20"/>
      <c r="R16" s="20"/>
      <c r="S16" s="20"/>
      <c r="T16" s="20"/>
      <c r="U16" s="20"/>
      <c r="V16" s="23"/>
      <c r="W16" s="19"/>
      <c r="X16" s="19"/>
      <c r="Y16" s="19"/>
      <c r="Z16" s="19"/>
      <c r="AA16" s="19"/>
      <c r="AB16" s="19"/>
      <c r="AC16" s="31"/>
    </row>
    <row r="17" spans="1:29">
      <c r="A17" s="417" t="s">
        <v>479</v>
      </c>
      <c r="B17" s="332">
        <f>B19-B18</f>
        <v>0</v>
      </c>
      <c r="C17" s="332">
        <f t="shared" ref="C17:O17" si="0">C19-C18</f>
        <v>0</v>
      </c>
      <c r="D17" s="332">
        <f>NETWORKDAYS(D11,D12)</f>
        <v>5</v>
      </c>
      <c r="E17" s="332">
        <f t="shared" si="0"/>
        <v>10</v>
      </c>
      <c r="F17" s="332">
        <f t="shared" si="0"/>
        <v>0</v>
      </c>
      <c r="G17" s="332">
        <f t="shared" si="0"/>
        <v>0</v>
      </c>
      <c r="H17" s="332">
        <f t="shared" si="0"/>
        <v>0</v>
      </c>
      <c r="I17" s="332">
        <f t="shared" si="0"/>
        <v>0</v>
      </c>
      <c r="J17" s="332">
        <f t="shared" si="0"/>
        <v>0</v>
      </c>
      <c r="K17" s="332">
        <f t="shared" si="0"/>
        <v>0</v>
      </c>
      <c r="L17" s="332">
        <f t="shared" si="0"/>
        <v>0</v>
      </c>
      <c r="M17" s="332">
        <f t="shared" si="0"/>
        <v>0</v>
      </c>
      <c r="N17" s="332">
        <f t="shared" si="0"/>
        <v>0</v>
      </c>
      <c r="O17" s="332">
        <f t="shared" si="0"/>
        <v>10</v>
      </c>
      <c r="P17" s="336"/>
      <c r="Q17" s="20"/>
      <c r="R17" s="20"/>
      <c r="S17" s="20"/>
      <c r="T17" s="20"/>
      <c r="U17" s="20"/>
      <c r="V17" s="23"/>
      <c r="W17" s="19"/>
      <c r="X17" s="19"/>
      <c r="Y17" s="19"/>
      <c r="Z17" s="19"/>
      <c r="AA17" s="19"/>
      <c r="AB17" s="19"/>
      <c r="AC17" s="31"/>
    </row>
    <row r="18" spans="1:29">
      <c r="A18" s="473" t="s">
        <v>706</v>
      </c>
      <c r="B18" s="475">
        <f>NETWORKDAYS(B11,$A$6)</f>
        <v>20</v>
      </c>
      <c r="C18" s="475">
        <f>NETWORKDAYS(C11,$A$6)</f>
        <v>20</v>
      </c>
      <c r="D18" s="475">
        <v>0</v>
      </c>
      <c r="E18" s="475">
        <f t="shared" ref="E18:O18" si="1">NETWORKDAYS(E11,$A$6)</f>
        <v>10</v>
      </c>
      <c r="F18" s="475">
        <f t="shared" si="1"/>
        <v>20</v>
      </c>
      <c r="G18" s="475">
        <f t="shared" si="1"/>
        <v>20</v>
      </c>
      <c r="H18" s="475">
        <f t="shared" si="1"/>
        <v>20</v>
      </c>
      <c r="I18" s="475">
        <f t="shared" si="1"/>
        <v>20</v>
      </c>
      <c r="J18" s="475">
        <f t="shared" si="1"/>
        <v>20</v>
      </c>
      <c r="K18" s="475">
        <f t="shared" si="1"/>
        <v>20</v>
      </c>
      <c r="L18" s="475">
        <f t="shared" si="1"/>
        <v>20</v>
      </c>
      <c r="M18" s="475">
        <f t="shared" si="1"/>
        <v>20</v>
      </c>
      <c r="N18" s="475">
        <f t="shared" si="1"/>
        <v>20</v>
      </c>
      <c r="O18" s="475">
        <f t="shared" si="1"/>
        <v>10</v>
      </c>
      <c r="P18" s="336"/>
      <c r="Q18" s="20"/>
      <c r="R18" s="20"/>
      <c r="S18" s="20"/>
      <c r="T18" s="20"/>
      <c r="U18" s="20"/>
      <c r="V18" s="23"/>
      <c r="W18" s="19"/>
      <c r="X18" s="19"/>
      <c r="Y18" s="19"/>
      <c r="Z18" s="19"/>
      <c r="AA18" s="19"/>
      <c r="AB18" s="19"/>
      <c r="AC18" s="31"/>
    </row>
    <row r="19" spans="1:29">
      <c r="A19" s="417" t="s">
        <v>632</v>
      </c>
      <c r="B19" s="332">
        <f>NETWORKDAYS(EOMONTH($A$6,-1)+1,EOMONTH($A$6,0))</f>
        <v>20</v>
      </c>
      <c r="C19" s="332">
        <f t="shared" ref="C19:O19" si="2">NETWORKDAYS(EOMONTH($A$6,-1)+1,EOMONTH($A$6,0))</f>
        <v>20</v>
      </c>
      <c r="D19" s="332">
        <f t="shared" si="2"/>
        <v>20</v>
      </c>
      <c r="E19" s="332">
        <f t="shared" si="2"/>
        <v>20</v>
      </c>
      <c r="F19" s="332">
        <f t="shared" si="2"/>
        <v>20</v>
      </c>
      <c r="G19" s="332">
        <f t="shared" si="2"/>
        <v>20</v>
      </c>
      <c r="H19" s="332">
        <f t="shared" si="2"/>
        <v>20</v>
      </c>
      <c r="I19" s="332">
        <f t="shared" si="2"/>
        <v>20</v>
      </c>
      <c r="J19" s="332">
        <f t="shared" si="2"/>
        <v>20</v>
      </c>
      <c r="K19" s="332">
        <f t="shared" si="2"/>
        <v>20</v>
      </c>
      <c r="L19" s="332">
        <f t="shared" si="2"/>
        <v>20</v>
      </c>
      <c r="M19" s="332">
        <f t="shared" si="2"/>
        <v>20</v>
      </c>
      <c r="N19" s="332">
        <f t="shared" si="2"/>
        <v>20</v>
      </c>
      <c r="O19" s="332">
        <f t="shared" si="2"/>
        <v>20</v>
      </c>
      <c r="P19" s="336"/>
      <c r="Q19" s="20"/>
      <c r="R19" s="20"/>
      <c r="S19" s="20"/>
      <c r="T19" s="20"/>
      <c r="U19" s="20"/>
      <c r="V19" s="23"/>
      <c r="W19" s="19"/>
      <c r="X19" s="19"/>
      <c r="Y19" s="19"/>
      <c r="Z19" s="19"/>
      <c r="AA19" s="19"/>
      <c r="AB19" s="19"/>
      <c r="AC19" s="31"/>
    </row>
    <row r="20" spans="1:29" ht="15.6">
      <c r="A20" s="417" t="s">
        <v>511</v>
      </c>
      <c r="B20" s="329">
        <f>30-B21</f>
        <v>0</v>
      </c>
      <c r="C20" s="329">
        <f t="shared" ref="C20:O20" si="3">30-C21</f>
        <v>0</v>
      </c>
      <c r="D20" s="329">
        <f>_xlfn.DAYS(D12,D11)+1</f>
        <v>7</v>
      </c>
      <c r="E20" s="329">
        <f t="shared" si="3"/>
        <v>16</v>
      </c>
      <c r="F20" s="329">
        <f t="shared" si="3"/>
        <v>0</v>
      </c>
      <c r="G20" s="329">
        <f t="shared" si="3"/>
        <v>0</v>
      </c>
      <c r="H20" s="329">
        <f t="shared" si="3"/>
        <v>0</v>
      </c>
      <c r="I20" s="329">
        <f t="shared" si="3"/>
        <v>0</v>
      </c>
      <c r="J20" s="329">
        <f t="shared" si="3"/>
        <v>0</v>
      </c>
      <c r="K20" s="329">
        <f t="shared" si="3"/>
        <v>0</v>
      </c>
      <c r="L20" s="329">
        <f t="shared" si="3"/>
        <v>0</v>
      </c>
      <c r="M20" s="329">
        <f t="shared" si="3"/>
        <v>2</v>
      </c>
      <c r="N20" s="329">
        <f t="shared" si="3"/>
        <v>0</v>
      </c>
      <c r="O20" s="329">
        <f t="shared" si="3"/>
        <v>16</v>
      </c>
      <c r="P20" s="336"/>
      <c r="Q20" s="20"/>
      <c r="R20" s="20"/>
      <c r="S20" s="20"/>
      <c r="T20" s="20"/>
      <c r="U20" s="20"/>
      <c r="V20" s="40"/>
      <c r="W20" s="41"/>
      <c r="X20" s="19"/>
      <c r="Y20" s="19"/>
      <c r="Z20" s="19"/>
      <c r="AA20" s="19"/>
      <c r="AB20" s="16"/>
      <c r="AC20" s="17"/>
    </row>
    <row r="21" spans="1:29">
      <c r="A21" s="473" t="s">
        <v>707</v>
      </c>
      <c r="B21" s="476">
        <f>_xlfn.DAYS($A$6,B11)+1</f>
        <v>30</v>
      </c>
      <c r="C21" s="476">
        <f>_xlfn.DAYS($A$6,C11)+1</f>
        <v>30</v>
      </c>
      <c r="D21" s="476">
        <v>0</v>
      </c>
      <c r="E21" s="476">
        <f t="shared" ref="E21:O21" si="4">_xlfn.DAYS($A$6,E11)+1</f>
        <v>14</v>
      </c>
      <c r="F21" s="476">
        <f t="shared" si="4"/>
        <v>30</v>
      </c>
      <c r="G21" s="476">
        <f t="shared" si="4"/>
        <v>30</v>
      </c>
      <c r="H21" s="476">
        <f t="shared" si="4"/>
        <v>30</v>
      </c>
      <c r="I21" s="476">
        <f t="shared" si="4"/>
        <v>30</v>
      </c>
      <c r="J21" s="476">
        <f t="shared" si="4"/>
        <v>30</v>
      </c>
      <c r="K21" s="476">
        <f t="shared" si="4"/>
        <v>30</v>
      </c>
      <c r="L21" s="476">
        <f t="shared" si="4"/>
        <v>30</v>
      </c>
      <c r="M21" s="476">
        <f t="shared" si="4"/>
        <v>28</v>
      </c>
      <c r="N21" s="476">
        <f t="shared" si="4"/>
        <v>30</v>
      </c>
      <c r="O21" s="476">
        <f t="shared" si="4"/>
        <v>14</v>
      </c>
      <c r="P21" s="336"/>
      <c r="Q21" s="20"/>
      <c r="R21" s="20"/>
      <c r="S21" s="20"/>
      <c r="T21" s="20"/>
      <c r="U21" s="20"/>
      <c r="V21" s="50"/>
      <c r="W21" s="44"/>
      <c r="X21" s="44"/>
      <c r="Y21" s="44"/>
      <c r="Z21" s="44"/>
      <c r="AA21" s="44"/>
      <c r="AB21" s="44"/>
      <c r="AC21" s="51"/>
    </row>
    <row r="22" spans="1:29">
      <c r="A22" s="417" t="s">
        <v>531</v>
      </c>
      <c r="B22" s="331">
        <f>DATEDIF('New Hire'!C41,$A$6,"Y")</f>
        <v>9</v>
      </c>
      <c r="C22" s="331">
        <f>DATEDIF('New Hire'!D41,$A$6,"Y")</f>
        <v>13</v>
      </c>
      <c r="D22" s="331">
        <f>DATEDIF('New Hire'!E41,$A$6,"Y")</f>
        <v>0</v>
      </c>
      <c r="E22" s="331">
        <f>DATEDIF('New Hire'!F41,$A$6,"Y")</f>
        <v>4</v>
      </c>
      <c r="F22" s="331">
        <f>DATEDIF('New Hire'!G41,$A$6,"Y")</f>
        <v>9</v>
      </c>
      <c r="G22" s="331">
        <f>DATEDIF('New Hire'!H41,$A$6,"Y")</f>
        <v>0</v>
      </c>
      <c r="H22" s="331">
        <f>DATEDIF('New Hire'!I41,$A$6,"Y")</f>
        <v>14</v>
      </c>
      <c r="I22" s="331">
        <f>DATEDIF('New Hire'!J41,$A$6,"Y")</f>
        <v>0</v>
      </c>
      <c r="J22" s="331">
        <f>DATEDIF('New Hire'!K41,$A$6,"Y")</f>
        <v>0</v>
      </c>
      <c r="K22" s="331">
        <f>DATEDIF('New Hire'!L41,$A$6,"Y")</f>
        <v>9</v>
      </c>
      <c r="L22" s="331">
        <f>DATEDIF('New Hire'!M41,$A$6,"Y")</f>
        <v>4</v>
      </c>
      <c r="M22" s="331">
        <f>DATEDIF('New Hire'!N41,$A$6,"Y")</f>
        <v>0</v>
      </c>
      <c r="N22" s="331">
        <f>DATEDIF('New Hire'!O41,$A$6,"Y")</f>
        <v>11</v>
      </c>
      <c r="O22" s="331">
        <f>DATEDIF('New Hire'!P41,$A$6,"Y")</f>
        <v>0</v>
      </c>
      <c r="P22" s="336"/>
      <c r="Q22" s="20"/>
      <c r="R22" s="20"/>
      <c r="S22" s="20"/>
      <c r="T22" s="20"/>
      <c r="U22" s="20"/>
      <c r="V22" s="112" t="s">
        <v>57</v>
      </c>
      <c r="W22" s="113" t="s">
        <v>67</v>
      </c>
      <c r="X22" s="113" t="s">
        <v>69</v>
      </c>
      <c r="Y22" s="113" t="s">
        <v>70</v>
      </c>
      <c r="Z22" s="113" t="s">
        <v>56</v>
      </c>
      <c r="AA22" s="113" t="s">
        <v>54</v>
      </c>
      <c r="AB22" s="113" t="s">
        <v>58</v>
      </c>
      <c r="AC22" s="114" t="s">
        <v>59</v>
      </c>
    </row>
    <row r="23" spans="1:29">
      <c r="A23" s="417" t="s">
        <v>563</v>
      </c>
      <c r="B23" s="331" t="str">
        <f>'New Hire'!C52</f>
        <v>A</v>
      </c>
      <c r="C23" s="331" t="str">
        <f>'New Hire'!D52</f>
        <v>A</v>
      </c>
      <c r="D23" s="331" t="str">
        <f>'New Hire'!E52</f>
        <v>A</v>
      </c>
      <c r="E23" s="331" t="str">
        <f>'New Hire'!F52</f>
        <v>B</v>
      </c>
      <c r="F23" s="331" t="str">
        <f>'New Hire'!G52</f>
        <v>B</v>
      </c>
      <c r="G23" s="331" t="str">
        <f>'New Hire'!H52</f>
        <v>C</v>
      </c>
      <c r="H23" s="331" t="str">
        <f>'New Hire'!I52</f>
        <v>D</v>
      </c>
      <c r="I23" s="331" t="str">
        <f>'New Hire'!J52</f>
        <v>D</v>
      </c>
      <c r="J23" s="331" t="str">
        <f>'New Hire'!K52</f>
        <v>A</v>
      </c>
      <c r="K23" s="331" t="str">
        <f>'New Hire'!L52</f>
        <v>A</v>
      </c>
      <c r="L23" s="331" t="str">
        <f>'New Hire'!M52</f>
        <v>A</v>
      </c>
      <c r="M23" s="331" t="str">
        <f>'New Hire'!N52</f>
        <v>A</v>
      </c>
      <c r="N23" s="331" t="str">
        <f>'New Hire'!O52</f>
        <v>A</v>
      </c>
      <c r="O23" s="331" t="str">
        <f>'New Hire'!P52</f>
        <v>B</v>
      </c>
      <c r="P23" s="336"/>
      <c r="Q23" s="20"/>
      <c r="R23" s="20"/>
      <c r="S23" s="20"/>
      <c r="T23" s="20"/>
      <c r="U23" s="20"/>
      <c r="V23" s="350" t="s">
        <v>2</v>
      </c>
      <c r="W23" s="351">
        <v>91999901</v>
      </c>
      <c r="X23" s="352" t="s">
        <v>505</v>
      </c>
      <c r="Y23" s="352" t="s">
        <v>506</v>
      </c>
      <c r="Z23" s="353" t="s">
        <v>507</v>
      </c>
      <c r="AA23" s="354">
        <v>8000000</v>
      </c>
      <c r="AB23" s="352"/>
      <c r="AC23" s="355"/>
    </row>
    <row r="24" spans="1:29">
      <c r="A24" s="449" t="s">
        <v>107</v>
      </c>
      <c r="B24" s="89">
        <v>1</v>
      </c>
      <c r="C24" s="89">
        <v>2</v>
      </c>
      <c r="D24" s="606">
        <v>0</v>
      </c>
      <c r="E24" s="89">
        <v>3</v>
      </c>
      <c r="F24" s="89">
        <v>0</v>
      </c>
      <c r="G24" s="89">
        <v>0</v>
      </c>
      <c r="H24" s="89">
        <v>2</v>
      </c>
      <c r="I24" s="89">
        <v>0</v>
      </c>
      <c r="J24" s="89">
        <v>0</v>
      </c>
      <c r="K24" s="89">
        <v>0</v>
      </c>
      <c r="L24" s="89">
        <v>0</v>
      </c>
      <c r="M24" s="89">
        <v>0</v>
      </c>
      <c r="N24" s="89">
        <v>0</v>
      </c>
      <c r="O24" s="89">
        <v>0</v>
      </c>
      <c r="P24" s="336"/>
      <c r="Q24" s="20"/>
      <c r="R24" s="20"/>
      <c r="S24" s="20"/>
      <c r="T24" s="20"/>
      <c r="U24" s="20"/>
      <c r="V24" s="350" t="s">
        <v>2</v>
      </c>
      <c r="W24" s="351">
        <v>91999902</v>
      </c>
      <c r="X24" s="352" t="s">
        <v>505</v>
      </c>
      <c r="Y24" s="352" t="s">
        <v>506</v>
      </c>
      <c r="Z24" s="353" t="s">
        <v>507</v>
      </c>
      <c r="AA24" s="354">
        <v>8000000</v>
      </c>
      <c r="AB24" s="352"/>
      <c r="AC24" s="355"/>
    </row>
    <row r="25" spans="1:29">
      <c r="A25" s="450" t="s">
        <v>113</v>
      </c>
      <c r="B25" s="89">
        <f>IF(OR(B23="A",B23="C"),3600000*B24,0)</f>
        <v>3600000</v>
      </c>
      <c r="C25" s="89">
        <f t="shared" ref="C25:O25" si="5">IF(OR(C23="A",C23="C"),3600000*C24,0)</f>
        <v>7200000</v>
      </c>
      <c r="D25" s="89">
        <f t="shared" si="5"/>
        <v>0</v>
      </c>
      <c r="E25" s="89">
        <f t="shared" si="5"/>
        <v>0</v>
      </c>
      <c r="F25" s="89">
        <f t="shared" si="5"/>
        <v>0</v>
      </c>
      <c r="G25" s="89">
        <f t="shared" si="5"/>
        <v>0</v>
      </c>
      <c r="H25" s="89">
        <f t="shared" si="5"/>
        <v>0</v>
      </c>
      <c r="I25" s="89">
        <f t="shared" si="5"/>
        <v>0</v>
      </c>
      <c r="J25" s="89">
        <f t="shared" si="5"/>
        <v>0</v>
      </c>
      <c r="K25" s="89">
        <f t="shared" si="5"/>
        <v>0</v>
      </c>
      <c r="L25" s="89">
        <f t="shared" si="5"/>
        <v>0</v>
      </c>
      <c r="M25" s="89">
        <f t="shared" si="5"/>
        <v>0</v>
      </c>
      <c r="N25" s="89">
        <f t="shared" si="5"/>
        <v>0</v>
      </c>
      <c r="O25" s="89">
        <f t="shared" si="5"/>
        <v>0</v>
      </c>
      <c r="P25" s="589">
        <f>SUM(B25:O25)</f>
        <v>10800000</v>
      </c>
      <c r="Q25" s="20"/>
      <c r="R25" s="20"/>
      <c r="S25" s="20"/>
      <c r="T25" s="20"/>
      <c r="U25" s="20"/>
      <c r="V25" s="350" t="s">
        <v>2</v>
      </c>
      <c r="W25" s="351">
        <v>91999904</v>
      </c>
      <c r="X25" s="352" t="s">
        <v>509</v>
      </c>
      <c r="Y25" s="352" t="s">
        <v>506</v>
      </c>
      <c r="Z25" s="353" t="s">
        <v>507</v>
      </c>
      <c r="AA25" s="354">
        <v>8000000</v>
      </c>
      <c r="AB25" s="352"/>
      <c r="AC25" s="355"/>
    </row>
    <row r="26" spans="1:29">
      <c r="A26" s="450" t="s">
        <v>114</v>
      </c>
      <c r="B26" s="89">
        <f>IF(OR(B23="A",B23="C"),9000000,0)</f>
        <v>9000000</v>
      </c>
      <c r="C26" s="89">
        <f t="shared" ref="C26:O26" si="6">IF(OR(C23="A",C23="C"),9000000,0)</f>
        <v>9000000</v>
      </c>
      <c r="D26" s="89">
        <f t="shared" si="6"/>
        <v>9000000</v>
      </c>
      <c r="E26" s="89">
        <f t="shared" si="6"/>
        <v>0</v>
      </c>
      <c r="F26" s="89">
        <f t="shared" si="6"/>
        <v>0</v>
      </c>
      <c r="G26" s="89">
        <f t="shared" si="6"/>
        <v>9000000</v>
      </c>
      <c r="H26" s="89">
        <f t="shared" si="6"/>
        <v>0</v>
      </c>
      <c r="I26" s="89">
        <f t="shared" si="6"/>
        <v>0</v>
      </c>
      <c r="J26" s="89">
        <f t="shared" si="6"/>
        <v>9000000</v>
      </c>
      <c r="K26" s="89">
        <f t="shared" si="6"/>
        <v>9000000</v>
      </c>
      <c r="L26" s="89">
        <f t="shared" si="6"/>
        <v>9000000</v>
      </c>
      <c r="M26" s="89">
        <f t="shared" si="6"/>
        <v>9000000</v>
      </c>
      <c r="N26" s="89">
        <f t="shared" si="6"/>
        <v>9000000</v>
      </c>
      <c r="O26" s="89">
        <f t="shared" si="6"/>
        <v>0</v>
      </c>
      <c r="P26" s="589">
        <f>SUM(B26:O26)</f>
        <v>81000000</v>
      </c>
      <c r="Q26" s="66"/>
      <c r="R26" s="66"/>
      <c r="S26" s="66"/>
      <c r="T26" s="66"/>
      <c r="U26" s="66"/>
      <c r="V26" s="350" t="s">
        <v>2</v>
      </c>
      <c r="W26" s="351">
        <v>91999905</v>
      </c>
      <c r="X26" s="352" t="s">
        <v>505</v>
      </c>
      <c r="Y26" s="352" t="s">
        <v>506</v>
      </c>
      <c r="Z26" s="353" t="s">
        <v>507</v>
      </c>
      <c r="AA26" s="354">
        <v>8000000</v>
      </c>
      <c r="AB26" s="352"/>
      <c r="AC26" s="355"/>
    </row>
    <row r="27" spans="1:29" ht="15.6">
      <c r="A27" s="406" t="s">
        <v>53</v>
      </c>
      <c r="B27" s="64"/>
      <c r="C27" s="65"/>
      <c r="D27" s="65"/>
      <c r="E27" s="66"/>
      <c r="F27" s="65"/>
      <c r="G27" s="65"/>
      <c r="H27" s="21"/>
      <c r="I27" s="65"/>
      <c r="J27" s="65"/>
      <c r="K27" s="66"/>
      <c r="L27" s="66"/>
      <c r="M27" s="66"/>
      <c r="N27" s="66"/>
      <c r="O27" s="376"/>
      <c r="P27" s="376"/>
      <c r="Q27" s="66"/>
      <c r="R27" s="66"/>
      <c r="S27" s="66"/>
      <c r="T27" s="66"/>
      <c r="U27" s="66"/>
      <c r="V27" s="350" t="s">
        <v>2</v>
      </c>
      <c r="W27" s="351">
        <v>91999906</v>
      </c>
      <c r="X27" s="352" t="s">
        <v>505</v>
      </c>
      <c r="Y27" s="352" t="s">
        <v>506</v>
      </c>
      <c r="Z27" s="353" t="s">
        <v>507</v>
      </c>
      <c r="AA27" s="354">
        <v>8000000</v>
      </c>
      <c r="AB27" s="352"/>
      <c r="AC27" s="355"/>
    </row>
    <row r="28" spans="1:29">
      <c r="A28" s="407" t="s">
        <v>55</v>
      </c>
      <c r="B28" s="64"/>
      <c r="C28" s="65"/>
      <c r="D28" s="65"/>
      <c r="E28" s="66"/>
      <c r="F28" s="65"/>
      <c r="G28" s="65"/>
      <c r="H28" s="21"/>
      <c r="I28" s="65"/>
      <c r="J28" s="65"/>
      <c r="K28" s="66"/>
      <c r="L28" s="66"/>
      <c r="M28" s="66"/>
      <c r="N28" s="66"/>
      <c r="O28" s="376"/>
      <c r="P28" s="376"/>
      <c r="Q28" s="66"/>
      <c r="R28" s="66"/>
      <c r="S28" s="66"/>
      <c r="T28" s="66"/>
      <c r="U28" s="66"/>
      <c r="V28" s="350" t="s">
        <v>2</v>
      </c>
      <c r="W28" s="351">
        <v>91999907</v>
      </c>
      <c r="X28" s="352" t="s">
        <v>505</v>
      </c>
      <c r="Y28" s="352" t="s">
        <v>506</v>
      </c>
      <c r="Z28" s="353" t="s">
        <v>535</v>
      </c>
      <c r="AA28" s="354">
        <v>7000000</v>
      </c>
      <c r="AB28" s="352"/>
      <c r="AC28" s="355"/>
    </row>
    <row r="29" spans="1:29">
      <c r="A29" s="436" t="s">
        <v>477</v>
      </c>
      <c r="B29" s="326">
        <f t="shared" ref="B29:N29" si="7">ROUND(B161*B107,0)+ROUND(B162*B108,0)</f>
        <v>7000000</v>
      </c>
      <c r="C29" s="326">
        <f t="shared" si="7"/>
        <v>5580000</v>
      </c>
      <c r="D29" s="326">
        <f t="shared" si="7"/>
        <v>1750000</v>
      </c>
      <c r="E29" s="326">
        <f t="shared" si="7"/>
        <v>10000000</v>
      </c>
      <c r="F29" s="326">
        <f t="shared" si="7"/>
        <v>12800000</v>
      </c>
      <c r="G29" s="326">
        <f t="shared" si="7"/>
        <v>74256000</v>
      </c>
      <c r="H29" s="326">
        <f>ROUND(H161*H107,0)+ROUND(H162*H108,0)</f>
        <v>56852250</v>
      </c>
      <c r="I29" s="326">
        <f t="shared" si="7"/>
        <v>66134250</v>
      </c>
      <c r="J29" s="326">
        <f t="shared" si="7"/>
        <v>33000000</v>
      </c>
      <c r="K29" s="326">
        <f t="shared" si="7"/>
        <v>10000000</v>
      </c>
      <c r="L29" s="326">
        <f t="shared" si="7"/>
        <v>11500000</v>
      </c>
      <c r="M29" s="326">
        <f t="shared" si="7"/>
        <v>7000000</v>
      </c>
      <c r="N29" s="326">
        <f t="shared" si="7"/>
        <v>6500000</v>
      </c>
      <c r="O29" s="326">
        <f>ROUND(O161*O107,0)+ROUND(O162*O108,0)</f>
        <v>5250000</v>
      </c>
      <c r="P29" s="338">
        <f t="shared" ref="P29:P34" si="8">SUM(B29:O29)</f>
        <v>307622500</v>
      </c>
      <c r="Q29" s="89" t="s">
        <v>523</v>
      </c>
      <c r="R29" s="89" t="s">
        <v>523</v>
      </c>
      <c r="S29" s="89" t="s">
        <v>523</v>
      </c>
      <c r="T29" s="89" t="s">
        <v>523</v>
      </c>
      <c r="U29" s="89" t="s">
        <v>523</v>
      </c>
      <c r="V29" s="350" t="s">
        <v>1332</v>
      </c>
      <c r="W29" s="351">
        <v>91999906</v>
      </c>
      <c r="X29" s="352" t="s">
        <v>692</v>
      </c>
      <c r="Y29" s="352" t="s">
        <v>1154</v>
      </c>
      <c r="Z29" s="353">
        <v>7065</v>
      </c>
      <c r="AA29" s="354">
        <v>100</v>
      </c>
      <c r="AB29" s="352" t="s">
        <v>1329</v>
      </c>
      <c r="AC29" s="355"/>
    </row>
    <row r="30" spans="1:29">
      <c r="A30" s="442" t="s">
        <v>494</v>
      </c>
      <c r="B30" s="326">
        <f t="shared" ref="B30:O30" si="9">ROUND(B145*B107,0)+ROUND(B146*B108,0)</f>
        <v>700000</v>
      </c>
      <c r="C30" s="326">
        <f t="shared" si="9"/>
        <v>558000</v>
      </c>
      <c r="D30" s="326">
        <f t="shared" si="9"/>
        <v>175000</v>
      </c>
      <c r="E30" s="326">
        <f t="shared" si="9"/>
        <v>0</v>
      </c>
      <c r="F30" s="326">
        <f t="shared" si="9"/>
        <v>0</v>
      </c>
      <c r="G30" s="326">
        <f t="shared" si="9"/>
        <v>0</v>
      </c>
      <c r="H30" s="326">
        <f t="shared" si="9"/>
        <v>6381375</v>
      </c>
      <c r="I30" s="326">
        <f t="shared" si="9"/>
        <v>0</v>
      </c>
      <c r="J30" s="326">
        <f t="shared" si="9"/>
        <v>3300000</v>
      </c>
      <c r="K30" s="326">
        <f t="shared" si="9"/>
        <v>1000000</v>
      </c>
      <c r="L30" s="326">
        <f t="shared" si="9"/>
        <v>0</v>
      </c>
      <c r="M30" s="326">
        <f t="shared" si="9"/>
        <v>1400000</v>
      </c>
      <c r="N30" s="326">
        <f t="shared" si="9"/>
        <v>1000000</v>
      </c>
      <c r="O30" s="326">
        <f t="shared" si="9"/>
        <v>0</v>
      </c>
      <c r="P30" s="338">
        <f t="shared" si="8"/>
        <v>14514375</v>
      </c>
      <c r="Q30" s="373" t="s">
        <v>523</v>
      </c>
      <c r="R30" s="373" t="s">
        <v>523</v>
      </c>
      <c r="S30" s="373" t="s">
        <v>523</v>
      </c>
      <c r="T30" s="373" t="s">
        <v>523</v>
      </c>
      <c r="U30" s="89" t="s">
        <v>523</v>
      </c>
      <c r="V30" s="350" t="s">
        <v>2</v>
      </c>
      <c r="W30" s="351">
        <v>91999907</v>
      </c>
      <c r="X30" s="352" t="s">
        <v>596</v>
      </c>
      <c r="Y30" s="352" t="s">
        <v>506</v>
      </c>
      <c r="Z30" s="353">
        <v>7065</v>
      </c>
      <c r="AA30" s="354">
        <v>100</v>
      </c>
      <c r="AB30" s="438" t="s">
        <v>539</v>
      </c>
      <c r="AC30" s="439"/>
    </row>
    <row r="31" spans="1:29">
      <c r="A31" s="442" t="s">
        <v>566</v>
      </c>
      <c r="B31" s="326">
        <f t="shared" ref="B31:O31" si="10">ROUND(B147*B107,0)+ROUND(B148*B108,0)</f>
        <v>1400000</v>
      </c>
      <c r="C31" s="326">
        <f t="shared" si="10"/>
        <v>1116000</v>
      </c>
      <c r="D31" s="326">
        <f t="shared" si="10"/>
        <v>350000</v>
      </c>
      <c r="E31" s="326">
        <f t="shared" si="10"/>
        <v>0</v>
      </c>
      <c r="F31" s="326">
        <f t="shared" si="10"/>
        <v>0</v>
      </c>
      <c r="G31" s="326">
        <f t="shared" si="10"/>
        <v>0</v>
      </c>
      <c r="H31" s="326">
        <f t="shared" si="10"/>
        <v>12762750</v>
      </c>
      <c r="I31" s="326">
        <f t="shared" si="10"/>
        <v>0</v>
      </c>
      <c r="J31" s="326">
        <f t="shared" si="10"/>
        <v>6600000</v>
      </c>
      <c r="K31" s="326">
        <f t="shared" si="10"/>
        <v>2000000</v>
      </c>
      <c r="L31" s="326">
        <f t="shared" si="10"/>
        <v>0</v>
      </c>
      <c r="M31" s="326">
        <f t="shared" si="10"/>
        <v>2100000</v>
      </c>
      <c r="N31" s="326">
        <f t="shared" si="10"/>
        <v>1500000</v>
      </c>
      <c r="O31" s="326">
        <f t="shared" si="10"/>
        <v>0</v>
      </c>
      <c r="P31" s="338">
        <f t="shared" si="8"/>
        <v>27828750</v>
      </c>
      <c r="Q31" s="373" t="s">
        <v>523</v>
      </c>
      <c r="R31" s="373" t="s">
        <v>523</v>
      </c>
      <c r="S31" s="373" t="s">
        <v>523</v>
      </c>
      <c r="T31" s="373" t="s">
        <v>523</v>
      </c>
      <c r="U31" s="89" t="s">
        <v>523</v>
      </c>
      <c r="V31" s="350" t="s">
        <v>2</v>
      </c>
      <c r="W31" s="351">
        <v>91999908</v>
      </c>
      <c r="X31" s="352" t="s">
        <v>505</v>
      </c>
      <c r="Y31" s="352" t="s">
        <v>506</v>
      </c>
      <c r="Z31" s="353">
        <v>7065</v>
      </c>
      <c r="AA31" s="354">
        <v>100</v>
      </c>
      <c r="AB31" s="438" t="s">
        <v>539</v>
      </c>
      <c r="AC31" s="439"/>
    </row>
    <row r="32" spans="1:29">
      <c r="A32" s="554" t="s">
        <v>820</v>
      </c>
      <c r="B32" s="362"/>
      <c r="C32" s="362"/>
      <c r="D32" s="362">
        <f>ROUND(ROUND(D137,2)*D102,0)</f>
        <v>3474975</v>
      </c>
      <c r="E32" s="362"/>
      <c r="F32" s="362"/>
      <c r="G32" s="362"/>
      <c r="H32" s="362"/>
      <c r="I32" s="362"/>
      <c r="J32" s="362"/>
      <c r="K32" s="362"/>
      <c r="L32" s="362"/>
      <c r="M32" s="362"/>
      <c r="N32" s="362"/>
      <c r="O32" s="362"/>
      <c r="P32" s="338">
        <f t="shared" si="8"/>
        <v>3474975</v>
      </c>
      <c r="Q32" s="522" t="s">
        <v>523</v>
      </c>
      <c r="R32" s="522" t="s">
        <v>523</v>
      </c>
      <c r="S32" s="556"/>
      <c r="T32" s="556"/>
      <c r="U32" s="556"/>
      <c r="V32" s="350" t="s">
        <v>1332</v>
      </c>
      <c r="W32" s="351">
        <v>91999906</v>
      </c>
      <c r="X32" s="352" t="s">
        <v>692</v>
      </c>
      <c r="Y32" s="352" t="s">
        <v>1154</v>
      </c>
      <c r="Z32" s="353">
        <v>7070</v>
      </c>
      <c r="AA32" s="354">
        <v>200</v>
      </c>
      <c r="AB32" s="352" t="s">
        <v>1329</v>
      </c>
      <c r="AC32" s="355"/>
    </row>
    <row r="33" spans="1:31">
      <c r="A33" s="452" t="s">
        <v>1381</v>
      </c>
      <c r="B33" s="431">
        <f>B84</f>
        <v>28846</v>
      </c>
      <c r="C33" s="431">
        <f t="shared" ref="C33:O33" si="11">C84</f>
        <v>0</v>
      </c>
      <c r="D33" s="431">
        <f t="shared" si="11"/>
        <v>0</v>
      </c>
      <c r="E33" s="431">
        <f t="shared" si="11"/>
        <v>207692</v>
      </c>
      <c r="F33" s="431">
        <f t="shared" si="11"/>
        <v>0</v>
      </c>
      <c r="G33" s="431">
        <f t="shared" si="11"/>
        <v>0</v>
      </c>
      <c r="H33" s="431">
        <f t="shared" si="11"/>
        <v>0</v>
      </c>
      <c r="I33" s="431">
        <f t="shared" si="11"/>
        <v>0</v>
      </c>
      <c r="J33" s="431">
        <f t="shared" si="11"/>
        <v>0</v>
      </c>
      <c r="K33" s="431">
        <f t="shared" si="11"/>
        <v>0</v>
      </c>
      <c r="L33" s="431">
        <f t="shared" si="11"/>
        <v>0</v>
      </c>
      <c r="M33" s="431">
        <f t="shared" si="11"/>
        <v>865380</v>
      </c>
      <c r="N33" s="431">
        <f t="shared" si="11"/>
        <v>150000</v>
      </c>
      <c r="O33" s="431">
        <f t="shared" si="11"/>
        <v>0</v>
      </c>
      <c r="P33" s="495">
        <f t="shared" si="8"/>
        <v>1251918</v>
      </c>
      <c r="Q33" s="501" t="s">
        <v>591</v>
      </c>
      <c r="R33" s="501" t="s">
        <v>591</v>
      </c>
      <c r="S33" s="502"/>
      <c r="T33" s="503"/>
      <c r="U33" s="503"/>
      <c r="V33" s="350" t="s">
        <v>2</v>
      </c>
      <c r="W33" s="351">
        <v>91999907</v>
      </c>
      <c r="X33" s="352" t="s">
        <v>596</v>
      </c>
      <c r="Y33" s="352" t="s">
        <v>506</v>
      </c>
      <c r="Z33" s="353">
        <v>7070</v>
      </c>
      <c r="AA33" s="354">
        <v>200</v>
      </c>
      <c r="AB33" s="438" t="s">
        <v>539</v>
      </c>
      <c r="AC33" s="439"/>
    </row>
    <row r="34" spans="1:31">
      <c r="A34" s="452" t="s">
        <v>1382</v>
      </c>
      <c r="B34" s="431">
        <f t="shared" ref="B34:O40" si="12">B85</f>
        <v>0</v>
      </c>
      <c r="C34" s="431">
        <f t="shared" si="12"/>
        <v>0</v>
      </c>
      <c r="D34" s="431">
        <f t="shared" si="12"/>
        <v>0</v>
      </c>
      <c r="E34" s="431">
        <f t="shared" si="12"/>
        <v>155769</v>
      </c>
      <c r="F34" s="431">
        <f t="shared" si="12"/>
        <v>0</v>
      </c>
      <c r="G34" s="431">
        <f t="shared" si="12"/>
        <v>0</v>
      </c>
      <c r="H34" s="431">
        <f t="shared" si="12"/>
        <v>0</v>
      </c>
      <c r="I34" s="431">
        <f t="shared" si="12"/>
        <v>0</v>
      </c>
      <c r="J34" s="431">
        <f t="shared" si="12"/>
        <v>0</v>
      </c>
      <c r="K34" s="431">
        <f t="shared" si="12"/>
        <v>0</v>
      </c>
      <c r="L34" s="431">
        <f t="shared" si="12"/>
        <v>0</v>
      </c>
      <c r="M34" s="431">
        <f t="shared" si="12"/>
        <v>0</v>
      </c>
      <c r="N34" s="431">
        <f t="shared" si="12"/>
        <v>0</v>
      </c>
      <c r="O34" s="431">
        <f t="shared" si="12"/>
        <v>0</v>
      </c>
      <c r="P34" s="495">
        <f t="shared" si="8"/>
        <v>155769</v>
      </c>
      <c r="Q34" s="501" t="s">
        <v>591</v>
      </c>
      <c r="R34" s="501" t="s">
        <v>591</v>
      </c>
      <c r="S34" s="502"/>
      <c r="T34" s="503"/>
      <c r="U34" s="503"/>
      <c r="V34" s="350" t="s">
        <v>2</v>
      </c>
      <c r="W34" s="351">
        <v>91999908</v>
      </c>
      <c r="X34" s="352" t="s">
        <v>505</v>
      </c>
      <c r="Y34" s="352" t="s">
        <v>506</v>
      </c>
      <c r="Z34" s="353">
        <v>7070</v>
      </c>
      <c r="AA34" s="354">
        <v>200</v>
      </c>
      <c r="AB34" s="438" t="s">
        <v>539</v>
      </c>
      <c r="AC34" s="439"/>
    </row>
    <row r="35" spans="1:31">
      <c r="A35" s="452" t="s">
        <v>1383</v>
      </c>
      <c r="B35" s="431">
        <f t="shared" si="12"/>
        <v>14423</v>
      </c>
      <c r="C35" s="431">
        <f t="shared" si="12"/>
        <v>0</v>
      </c>
      <c r="D35" s="431">
        <f t="shared" si="12"/>
        <v>0</v>
      </c>
      <c r="E35" s="431">
        <f t="shared" si="12"/>
        <v>64904</v>
      </c>
      <c r="F35" s="431">
        <f t="shared" si="12"/>
        <v>0</v>
      </c>
      <c r="G35" s="431">
        <f t="shared" si="12"/>
        <v>0</v>
      </c>
      <c r="H35" s="431">
        <f t="shared" si="12"/>
        <v>0</v>
      </c>
      <c r="I35" s="431">
        <f t="shared" si="12"/>
        <v>0</v>
      </c>
      <c r="J35" s="431">
        <f t="shared" si="12"/>
        <v>0</v>
      </c>
      <c r="K35" s="431">
        <f t="shared" si="12"/>
        <v>0</v>
      </c>
      <c r="L35" s="431">
        <f t="shared" si="12"/>
        <v>0</v>
      </c>
      <c r="M35" s="431">
        <f t="shared" si="12"/>
        <v>259614</v>
      </c>
      <c r="N35" s="431">
        <f t="shared" si="12"/>
        <v>56250</v>
      </c>
      <c r="O35" s="431">
        <f t="shared" si="12"/>
        <v>0</v>
      </c>
      <c r="P35" s="495">
        <f t="shared" ref="P35:P41" si="13">SUM(B35:O35)</f>
        <v>395191</v>
      </c>
      <c r="Q35" s="501" t="s">
        <v>591</v>
      </c>
      <c r="R35" s="501"/>
      <c r="S35" s="502"/>
      <c r="T35" s="503"/>
      <c r="U35" s="503"/>
      <c r="V35" s="350" t="s">
        <v>2</v>
      </c>
      <c r="W35" s="351">
        <v>91999901</v>
      </c>
      <c r="X35" s="352" t="s">
        <v>505</v>
      </c>
      <c r="Y35" s="352" t="s">
        <v>506</v>
      </c>
      <c r="Z35" s="353">
        <v>9140</v>
      </c>
      <c r="AA35" s="354"/>
      <c r="AB35" s="438">
        <v>0.76</v>
      </c>
      <c r="AC35" s="439"/>
    </row>
    <row r="36" spans="1:31">
      <c r="A36" s="452" t="s">
        <v>1384</v>
      </c>
      <c r="B36" s="431">
        <f t="shared" si="12"/>
        <v>0</v>
      </c>
      <c r="C36" s="431">
        <f t="shared" si="12"/>
        <v>0</v>
      </c>
      <c r="D36" s="431">
        <f t="shared" si="12"/>
        <v>0</v>
      </c>
      <c r="E36" s="431">
        <f t="shared" si="12"/>
        <v>73991</v>
      </c>
      <c r="F36" s="431">
        <f t="shared" si="12"/>
        <v>0</v>
      </c>
      <c r="G36" s="431">
        <f t="shared" si="12"/>
        <v>0</v>
      </c>
      <c r="H36" s="431">
        <f t="shared" si="12"/>
        <v>0</v>
      </c>
      <c r="I36" s="431">
        <f t="shared" si="12"/>
        <v>0</v>
      </c>
      <c r="J36" s="431">
        <f t="shared" si="12"/>
        <v>0</v>
      </c>
      <c r="K36" s="431">
        <f t="shared" si="12"/>
        <v>0</v>
      </c>
      <c r="L36" s="431">
        <f t="shared" si="12"/>
        <v>0</v>
      </c>
      <c r="M36" s="431">
        <f t="shared" si="12"/>
        <v>0</v>
      </c>
      <c r="N36" s="431">
        <f t="shared" si="12"/>
        <v>35625</v>
      </c>
      <c r="O36" s="431">
        <f t="shared" si="12"/>
        <v>0</v>
      </c>
      <c r="P36" s="495">
        <f t="shared" si="13"/>
        <v>109616</v>
      </c>
      <c r="Q36" s="501" t="s">
        <v>591</v>
      </c>
      <c r="R36" s="501"/>
      <c r="S36" s="504"/>
      <c r="T36" s="504"/>
      <c r="U36" s="504"/>
      <c r="V36" s="350" t="s">
        <v>2</v>
      </c>
      <c r="W36" s="351">
        <v>91999907</v>
      </c>
      <c r="X36" s="352" t="s">
        <v>505</v>
      </c>
      <c r="Y36" s="352" t="s">
        <v>506</v>
      </c>
      <c r="Z36" s="353">
        <v>9140</v>
      </c>
      <c r="AA36" s="354"/>
      <c r="AB36" s="438">
        <v>0.56000000000000005</v>
      </c>
      <c r="AC36" s="439"/>
    </row>
    <row r="37" spans="1:31">
      <c r="A37" s="452" t="s">
        <v>1385</v>
      </c>
      <c r="B37" s="431">
        <f t="shared" si="12"/>
        <v>0</v>
      </c>
      <c r="C37" s="431">
        <f t="shared" si="12"/>
        <v>0</v>
      </c>
      <c r="D37" s="431">
        <f t="shared" si="12"/>
        <v>0</v>
      </c>
      <c r="E37" s="431">
        <f t="shared" si="12"/>
        <v>0</v>
      </c>
      <c r="F37" s="431">
        <f t="shared" si="12"/>
        <v>0</v>
      </c>
      <c r="G37" s="431">
        <f t="shared" si="12"/>
        <v>0</v>
      </c>
      <c r="H37" s="431">
        <f t="shared" si="12"/>
        <v>0</v>
      </c>
      <c r="I37" s="431">
        <f t="shared" si="12"/>
        <v>0</v>
      </c>
      <c r="J37" s="431">
        <f t="shared" si="12"/>
        <v>0</v>
      </c>
      <c r="K37" s="431">
        <f t="shared" si="12"/>
        <v>0</v>
      </c>
      <c r="L37" s="431">
        <f t="shared" si="12"/>
        <v>0</v>
      </c>
      <c r="M37" s="431">
        <f t="shared" si="12"/>
        <v>317306</v>
      </c>
      <c r="N37" s="431">
        <f t="shared" si="12"/>
        <v>0</v>
      </c>
      <c r="O37" s="431">
        <f t="shared" si="12"/>
        <v>0</v>
      </c>
      <c r="P37" s="495">
        <f t="shared" si="13"/>
        <v>317306</v>
      </c>
      <c r="Q37" s="501" t="s">
        <v>591</v>
      </c>
      <c r="R37" s="501"/>
      <c r="S37" s="504"/>
      <c r="T37" s="504"/>
      <c r="U37" s="504"/>
      <c r="V37" s="350" t="s">
        <v>747</v>
      </c>
      <c r="W37" s="351">
        <v>91999905</v>
      </c>
      <c r="X37" s="352" t="s">
        <v>505</v>
      </c>
      <c r="Y37" s="352" t="s">
        <v>506</v>
      </c>
      <c r="Z37" s="353" t="s">
        <v>641</v>
      </c>
      <c r="AA37" s="354"/>
      <c r="AB37" s="438">
        <v>1</v>
      </c>
      <c r="AC37" s="439"/>
    </row>
    <row r="38" spans="1:31">
      <c r="A38" s="452" t="s">
        <v>1386</v>
      </c>
      <c r="B38" s="431">
        <f t="shared" si="12"/>
        <v>0</v>
      </c>
      <c r="C38" s="431">
        <f t="shared" si="12"/>
        <v>0</v>
      </c>
      <c r="D38" s="431">
        <f t="shared" si="12"/>
        <v>0</v>
      </c>
      <c r="E38" s="431">
        <f t="shared" si="12"/>
        <v>0</v>
      </c>
      <c r="F38" s="431">
        <f t="shared" si="12"/>
        <v>0</v>
      </c>
      <c r="G38" s="431">
        <f t="shared" si="12"/>
        <v>0</v>
      </c>
      <c r="H38" s="431">
        <f t="shared" si="12"/>
        <v>0</v>
      </c>
      <c r="I38" s="431">
        <f t="shared" si="12"/>
        <v>0</v>
      </c>
      <c r="J38" s="431">
        <f t="shared" si="12"/>
        <v>0</v>
      </c>
      <c r="K38" s="431">
        <f t="shared" si="12"/>
        <v>0</v>
      </c>
      <c r="L38" s="431">
        <f t="shared" si="12"/>
        <v>0</v>
      </c>
      <c r="M38" s="431">
        <f t="shared" si="12"/>
        <v>46154</v>
      </c>
      <c r="N38" s="431">
        <f t="shared" si="12"/>
        <v>0</v>
      </c>
      <c r="O38" s="431">
        <f t="shared" si="12"/>
        <v>0</v>
      </c>
      <c r="P38" s="495">
        <f t="shared" si="13"/>
        <v>46154</v>
      </c>
      <c r="Q38" s="501" t="s">
        <v>591</v>
      </c>
      <c r="R38" s="501"/>
      <c r="S38" s="503"/>
      <c r="T38" s="503"/>
      <c r="U38" s="503"/>
      <c r="V38" s="32"/>
      <c r="W38" s="44"/>
      <c r="X38" s="13"/>
      <c r="Y38" s="13"/>
      <c r="Z38" s="13"/>
      <c r="AA38" s="356"/>
      <c r="AB38" s="13"/>
      <c r="AC38" s="18"/>
    </row>
    <row r="39" spans="1:31">
      <c r="A39" s="452" t="s">
        <v>1387</v>
      </c>
      <c r="B39" s="431">
        <f t="shared" si="12"/>
        <v>0</v>
      </c>
      <c r="C39" s="431">
        <f t="shared" si="12"/>
        <v>0</v>
      </c>
      <c r="D39" s="431">
        <f t="shared" si="12"/>
        <v>0</v>
      </c>
      <c r="E39" s="431">
        <f t="shared" si="12"/>
        <v>103846</v>
      </c>
      <c r="F39" s="431">
        <f t="shared" si="12"/>
        <v>0</v>
      </c>
      <c r="G39" s="431">
        <f t="shared" si="12"/>
        <v>0</v>
      </c>
      <c r="H39" s="431">
        <f t="shared" si="12"/>
        <v>0</v>
      </c>
      <c r="I39" s="431">
        <f t="shared" si="12"/>
        <v>0</v>
      </c>
      <c r="J39" s="431">
        <f t="shared" si="12"/>
        <v>0</v>
      </c>
      <c r="K39" s="431">
        <f t="shared" si="12"/>
        <v>0</v>
      </c>
      <c r="L39" s="431">
        <f t="shared" si="12"/>
        <v>0</v>
      </c>
      <c r="M39" s="431">
        <f t="shared" si="12"/>
        <v>0</v>
      </c>
      <c r="N39" s="431">
        <f t="shared" si="12"/>
        <v>0</v>
      </c>
      <c r="O39" s="431">
        <f t="shared" si="12"/>
        <v>0</v>
      </c>
      <c r="P39" s="495">
        <f t="shared" si="13"/>
        <v>103846</v>
      </c>
      <c r="Q39" s="501" t="s">
        <v>591</v>
      </c>
      <c r="R39" s="501"/>
      <c r="S39" s="502"/>
      <c r="T39" s="503"/>
      <c r="U39" s="503"/>
      <c r="V39" s="32"/>
      <c r="W39" s="44"/>
      <c r="X39" s="13"/>
      <c r="Y39" s="13"/>
      <c r="Z39" s="13"/>
      <c r="AA39" s="356"/>
      <c r="AB39" s="13"/>
      <c r="AC39" s="18"/>
    </row>
    <row r="40" spans="1:31">
      <c r="A40" s="452" t="s">
        <v>1388</v>
      </c>
      <c r="B40" s="431">
        <f t="shared" si="12"/>
        <v>0</v>
      </c>
      <c r="C40" s="431">
        <f t="shared" si="12"/>
        <v>0</v>
      </c>
      <c r="D40" s="431">
        <f t="shared" si="12"/>
        <v>0</v>
      </c>
      <c r="E40" s="431">
        <f t="shared" si="12"/>
        <v>301154</v>
      </c>
      <c r="F40" s="431">
        <f t="shared" si="12"/>
        <v>0</v>
      </c>
      <c r="G40" s="431">
        <f t="shared" si="12"/>
        <v>0</v>
      </c>
      <c r="H40" s="431">
        <f t="shared" si="12"/>
        <v>0</v>
      </c>
      <c r="I40" s="431">
        <f t="shared" si="12"/>
        <v>0</v>
      </c>
      <c r="J40" s="431">
        <f t="shared" si="12"/>
        <v>0</v>
      </c>
      <c r="K40" s="431">
        <f t="shared" si="12"/>
        <v>0</v>
      </c>
      <c r="L40" s="431">
        <f t="shared" si="12"/>
        <v>0</v>
      </c>
      <c r="M40" s="431">
        <f t="shared" si="12"/>
        <v>0</v>
      </c>
      <c r="N40" s="431">
        <f t="shared" si="12"/>
        <v>0</v>
      </c>
      <c r="O40" s="431">
        <f t="shared" si="12"/>
        <v>0</v>
      </c>
      <c r="P40" s="495">
        <f t="shared" si="13"/>
        <v>301154</v>
      </c>
      <c r="Q40" s="501" t="s">
        <v>591</v>
      </c>
      <c r="R40" s="501"/>
      <c r="S40" s="504"/>
      <c r="T40" s="504"/>
      <c r="U40" s="504"/>
      <c r="V40" s="42"/>
      <c r="W40" s="43"/>
      <c r="X40" s="13"/>
      <c r="Y40" s="13"/>
      <c r="Z40" s="61"/>
      <c r="AA40" s="356"/>
      <c r="AB40" s="13"/>
      <c r="AC40" s="18"/>
    </row>
    <row r="41" spans="1:31">
      <c r="A41" s="488" t="s">
        <v>864</v>
      </c>
      <c r="B41" s="492"/>
      <c r="C41" s="431"/>
      <c r="D41" s="431"/>
      <c r="E41" s="431"/>
      <c r="F41" s="431"/>
      <c r="G41" s="431"/>
      <c r="H41" s="431"/>
      <c r="I41" s="431">
        <f>ROUND(AC57*'UAT5-May'!I71*150%,0)</f>
        <v>2972028</v>
      </c>
      <c r="J41" s="431"/>
      <c r="K41" s="431"/>
      <c r="L41" s="431"/>
      <c r="M41" s="431"/>
      <c r="N41" s="431"/>
      <c r="O41" s="431"/>
      <c r="P41" s="495">
        <f t="shared" si="13"/>
        <v>2972028</v>
      </c>
      <c r="Q41" s="437" t="s">
        <v>523</v>
      </c>
      <c r="R41" s="437" t="s">
        <v>523</v>
      </c>
      <c r="S41" s="494"/>
      <c r="T41" s="494"/>
      <c r="U41" s="494"/>
      <c r="V41" s="24" t="s">
        <v>57</v>
      </c>
      <c r="W41" s="37" t="s">
        <v>67</v>
      </c>
      <c r="X41" s="37" t="s">
        <v>69</v>
      </c>
      <c r="Y41" s="37" t="s">
        <v>70</v>
      </c>
      <c r="Z41" s="62" t="s">
        <v>424</v>
      </c>
      <c r="AA41" s="357" t="s">
        <v>425</v>
      </c>
      <c r="AB41" s="37" t="s">
        <v>56</v>
      </c>
      <c r="AC41" s="38"/>
    </row>
    <row r="42" spans="1:31">
      <c r="A42" s="405"/>
      <c r="B42" s="325"/>
      <c r="C42" s="326"/>
      <c r="D42" s="326"/>
      <c r="E42" s="326"/>
      <c r="F42" s="326"/>
      <c r="G42" s="326"/>
      <c r="H42" s="326"/>
      <c r="I42" s="326"/>
      <c r="J42" s="326"/>
      <c r="K42" s="326"/>
      <c r="L42" s="326"/>
      <c r="M42" s="326"/>
      <c r="N42" s="326"/>
      <c r="O42" s="326"/>
      <c r="P42" s="338"/>
      <c r="V42" s="496" t="s">
        <v>422</v>
      </c>
      <c r="W42" s="500">
        <v>91999904</v>
      </c>
      <c r="X42" s="435" t="s">
        <v>690</v>
      </c>
      <c r="Y42" s="435" t="s">
        <v>690</v>
      </c>
      <c r="Z42" s="497">
        <v>0.875</v>
      </c>
      <c r="AA42" s="497">
        <v>1</v>
      </c>
      <c r="AB42" s="498">
        <v>9014</v>
      </c>
      <c r="AC42" s="499">
        <v>3</v>
      </c>
      <c r="AD42" s="287">
        <v>1</v>
      </c>
      <c r="AE42" s="287">
        <v>2</v>
      </c>
    </row>
    <row r="43" spans="1:31">
      <c r="A43" s="510" t="s">
        <v>569</v>
      </c>
      <c r="B43" s="326"/>
      <c r="C43" s="326"/>
      <c r="D43" s="326"/>
      <c r="E43" s="334"/>
      <c r="F43" s="326"/>
      <c r="G43" s="326"/>
      <c r="H43" s="326"/>
      <c r="I43" s="326"/>
      <c r="J43" s="326"/>
      <c r="K43" s="334"/>
      <c r="L43" s="334"/>
      <c r="M43" s="334"/>
      <c r="N43" s="334"/>
      <c r="O43" s="395"/>
      <c r="P43" s="349"/>
      <c r="Q43" s="373"/>
      <c r="R43" s="373"/>
      <c r="S43" s="373"/>
      <c r="T43" s="373"/>
      <c r="U43" s="373"/>
      <c r="V43" s="496" t="s">
        <v>422</v>
      </c>
      <c r="W43" s="500">
        <v>91999904</v>
      </c>
      <c r="X43" s="435" t="s">
        <v>716</v>
      </c>
      <c r="Y43" s="435" t="s">
        <v>716</v>
      </c>
      <c r="Z43" s="497">
        <v>0.8125</v>
      </c>
      <c r="AA43" s="497">
        <v>1</v>
      </c>
      <c r="AB43" s="498">
        <v>9000</v>
      </c>
      <c r="AC43" s="499">
        <v>4.5</v>
      </c>
      <c r="AD43" s="287">
        <v>2.5</v>
      </c>
      <c r="AE43" s="287">
        <v>1.5</v>
      </c>
    </row>
    <row r="44" spans="1:31">
      <c r="A44" s="436" t="s">
        <v>532</v>
      </c>
      <c r="B44" s="326">
        <f>IF(OR(B23="A",B23="B"),ROUND(ROUND(2369796*B24*B20*IF(B22&lt;3,0,IF(B22&lt;6,50%,100%)),0)*B15/365,0),ROUND(ROUND(2466.55*$B$4,0)*B20*B15*B24/365,0))+IF(OR(B23="A",B23="B"),ROUND(ROUND(2369796*B24*B21*IF(B22&lt;3,0,IF(B22&lt;6,50%,100%)),0)*B16/365,0),ROUND(ROUND(2466.55*$B$4,0)*B21*B16*B24/365,0))</f>
        <v>194778</v>
      </c>
      <c r="C44" s="326">
        <f>IF(OR(C23="A",C23="B"),ROUND(ROUND(2369796*C24*C20*IF(C22&lt;3,0,IF(C22&lt;6,50%,100%)),0)*C15/365,0),ROUND(ROUND(2466.55*$B$4,0)*C20*C15*C24/365,0))+IF(OR(C23="A",C23="B"),ROUND(ROUND(2369796*C24*C21*IF(C22&lt;3,0,IF(C22&lt;6,50%,100%)),0)*C16/365,0),ROUND(ROUND(2466.55*$B$4,0)*C21*C16*C24/365,0))</f>
        <v>350600</v>
      </c>
      <c r="D44" s="326"/>
      <c r="E44" s="326">
        <f>IF(OR(E23="A",E23="B"),ROUND(ROUND(2369796*E24*E20*IF(E22&lt;3,0,IF(E22&lt;6,50%,100%)),0)*E15/365,0),ROUND(ROUND(2466.55*$B$4,0)*E20*E15*E24/365,0))+IF(OR(E23="A",E23="B"),ROUND(ROUND(2369796*E24*E21*IF(E22&lt;3,0,IF(E22&lt;6,50%,100%)),0)*E16/365,0),ROUND(ROUND(2466.55*$B$4,0)*E21*E16*E24/365,0))</f>
        <v>292166</v>
      </c>
      <c r="F44" s="326"/>
      <c r="G44" s="326"/>
      <c r="H44" s="326">
        <f>IF(OR(H23="A",H23="B"),ROUND(ROUND(2369796*H24*H20*IF(H22&lt;3,0,IF(H22&lt;6,50%,100%)),0)*H15/365,0),ROUND(ROUND(2466.55*$B$4,0)*H20*H15*H24/365,0))+IF(OR(H23="A",H23="B"),ROUND(ROUND(2369796*H24*H21*IF(H22&lt;3,0,IF(H22&lt;6,50%,100%)),0)*H16/365,0),ROUND(ROUND(2466.55*$B$4,0)*H21*H16*H24/365,0))</f>
        <v>4704353</v>
      </c>
      <c r="I44" s="326"/>
      <c r="J44" s="326"/>
      <c r="K44" s="326"/>
      <c r="L44" s="326"/>
      <c r="M44" s="326"/>
      <c r="N44" s="326"/>
      <c r="O44" s="394"/>
      <c r="P44" s="340">
        <f>SUM(B44:O44)</f>
        <v>5541897</v>
      </c>
      <c r="Q44" s="373"/>
      <c r="R44" s="373" t="s">
        <v>591</v>
      </c>
      <c r="S44" s="373"/>
      <c r="T44" s="373"/>
      <c r="U44" s="373"/>
      <c r="V44" s="496" t="s">
        <v>422</v>
      </c>
      <c r="W44" s="500">
        <v>91999912</v>
      </c>
      <c r="X44" s="435" t="s">
        <v>692</v>
      </c>
      <c r="Y44" s="435" t="s">
        <v>692</v>
      </c>
      <c r="Z44" s="497">
        <v>0.45833333333333331</v>
      </c>
      <c r="AA44" s="497">
        <v>1</v>
      </c>
      <c r="AB44" s="498">
        <v>9000</v>
      </c>
      <c r="AC44" s="499">
        <v>13</v>
      </c>
      <c r="AD44" s="287">
        <v>11</v>
      </c>
      <c r="AE44" s="287">
        <v>1</v>
      </c>
    </row>
    <row r="45" spans="1:31">
      <c r="A45" s="405"/>
      <c r="B45" s="325"/>
      <c r="C45" s="326"/>
      <c r="D45" s="326"/>
      <c r="E45" s="334"/>
      <c r="F45" s="362"/>
      <c r="G45" s="362"/>
      <c r="H45" s="362"/>
      <c r="I45" s="362"/>
      <c r="J45" s="362"/>
      <c r="K45" s="334"/>
      <c r="L45" s="334"/>
      <c r="M45" s="334"/>
      <c r="N45" s="334"/>
      <c r="O45" s="395"/>
      <c r="P45" s="349"/>
      <c r="Q45" s="373"/>
      <c r="R45" s="373"/>
      <c r="S45" s="373"/>
      <c r="T45" s="373"/>
      <c r="U45" s="373"/>
      <c r="V45" s="496" t="s">
        <v>422</v>
      </c>
      <c r="W45" s="500">
        <v>91999912</v>
      </c>
      <c r="X45" s="435" t="s">
        <v>718</v>
      </c>
      <c r="Y45" s="435" t="s">
        <v>717</v>
      </c>
      <c r="Z45" s="497">
        <v>0.70833333333333337</v>
      </c>
      <c r="AA45" s="497">
        <v>0.83333333333333337</v>
      </c>
      <c r="AB45" s="498">
        <v>9000</v>
      </c>
      <c r="AC45" s="499">
        <v>3</v>
      </c>
      <c r="AD45" s="287">
        <v>3</v>
      </c>
      <c r="AE45" s="287"/>
    </row>
    <row r="46" spans="1:31">
      <c r="A46" s="441" t="s">
        <v>61</v>
      </c>
      <c r="B46" s="359">
        <f t="shared" ref="B46:O46" si="14">SUM(B29:B42)</f>
        <v>9143269</v>
      </c>
      <c r="C46" s="360">
        <f t="shared" si="14"/>
        <v>7254000</v>
      </c>
      <c r="D46" s="360">
        <f t="shared" si="14"/>
        <v>5749975</v>
      </c>
      <c r="E46" s="360">
        <f t="shared" si="14"/>
        <v>10907356</v>
      </c>
      <c r="F46" s="360">
        <f t="shared" si="14"/>
        <v>12800000</v>
      </c>
      <c r="G46" s="360">
        <f t="shared" si="14"/>
        <v>74256000</v>
      </c>
      <c r="H46" s="360">
        <f t="shared" si="14"/>
        <v>75996375</v>
      </c>
      <c r="I46" s="360">
        <f t="shared" si="14"/>
        <v>69106278</v>
      </c>
      <c r="J46" s="360">
        <f t="shared" si="14"/>
        <v>42900000</v>
      </c>
      <c r="K46" s="360">
        <f t="shared" si="14"/>
        <v>13000000</v>
      </c>
      <c r="L46" s="360">
        <f t="shared" si="14"/>
        <v>11500000</v>
      </c>
      <c r="M46" s="360">
        <f t="shared" si="14"/>
        <v>11988454</v>
      </c>
      <c r="N46" s="480">
        <f t="shared" si="14"/>
        <v>9241875</v>
      </c>
      <c r="O46" s="481">
        <f t="shared" si="14"/>
        <v>5250000</v>
      </c>
      <c r="P46" s="349">
        <f>SUM(B46:O46)</f>
        <v>359093582</v>
      </c>
      <c r="Q46" s="373"/>
      <c r="R46" s="373"/>
      <c r="S46" s="373"/>
      <c r="T46" s="373"/>
      <c r="U46" s="373"/>
      <c r="V46" s="496" t="s">
        <v>422</v>
      </c>
      <c r="W46" s="500">
        <v>91999912</v>
      </c>
      <c r="X46" s="435" t="s">
        <v>719</v>
      </c>
      <c r="Y46" s="435" t="s">
        <v>719</v>
      </c>
      <c r="Z46" s="497">
        <v>0.70833333333333337</v>
      </c>
      <c r="AA46" s="497">
        <v>0.85416666666666663</v>
      </c>
      <c r="AB46" s="498">
        <v>9000</v>
      </c>
      <c r="AC46" s="499">
        <v>3</v>
      </c>
      <c r="AD46" s="287">
        <v>3.5</v>
      </c>
      <c r="AE46" s="287"/>
    </row>
    <row r="47" spans="1:31">
      <c r="A47" s="411"/>
      <c r="B47" s="325"/>
      <c r="C47" s="326"/>
      <c r="D47" s="326"/>
      <c r="E47" s="334"/>
      <c r="F47" s="326"/>
      <c r="G47" s="326"/>
      <c r="H47" s="326"/>
      <c r="I47" s="326"/>
      <c r="J47" s="326"/>
      <c r="K47" s="334"/>
      <c r="L47" s="334"/>
      <c r="M47" s="334"/>
      <c r="N47" s="334"/>
      <c r="O47" s="395"/>
      <c r="P47" s="349"/>
      <c r="Q47" s="373"/>
      <c r="R47" s="373"/>
      <c r="S47" s="373"/>
      <c r="T47" s="373"/>
      <c r="U47" s="373"/>
      <c r="V47" s="496" t="s">
        <v>422</v>
      </c>
      <c r="W47" s="500">
        <v>91999912</v>
      </c>
      <c r="X47" s="435" t="s">
        <v>720</v>
      </c>
      <c r="Y47" s="435" t="s">
        <v>720</v>
      </c>
      <c r="Z47" s="497">
        <v>0.70833333333333337</v>
      </c>
      <c r="AA47" s="497">
        <v>0.875</v>
      </c>
      <c r="AB47" s="498">
        <v>9000</v>
      </c>
      <c r="AC47" s="499">
        <v>4</v>
      </c>
      <c r="AD47" s="287">
        <v>4</v>
      </c>
      <c r="AE47" s="287"/>
    </row>
    <row r="48" spans="1:31" ht="15.6">
      <c r="A48" s="412" t="s">
        <v>60</v>
      </c>
      <c r="B48" s="363"/>
      <c r="C48" s="356"/>
      <c r="D48" s="356"/>
      <c r="E48" s="364"/>
      <c r="F48" s="356"/>
      <c r="G48" s="356"/>
      <c r="H48" s="356"/>
      <c r="I48" s="356"/>
      <c r="J48" s="356"/>
      <c r="K48" s="364"/>
      <c r="L48" s="364"/>
      <c r="M48" s="364"/>
      <c r="N48" s="364"/>
      <c r="O48" s="377"/>
      <c r="P48" s="377"/>
      <c r="Q48" s="373"/>
      <c r="R48" s="373"/>
      <c r="S48" s="373"/>
      <c r="T48" s="373"/>
      <c r="U48" s="373"/>
      <c r="V48" s="496" t="s">
        <v>422</v>
      </c>
      <c r="W48" s="500">
        <v>91999912</v>
      </c>
      <c r="X48" s="435" t="s">
        <v>721</v>
      </c>
      <c r="Y48" s="435" t="s">
        <v>721</v>
      </c>
      <c r="Z48" s="497">
        <v>0.70833333333333337</v>
      </c>
      <c r="AA48" s="497">
        <v>0.875</v>
      </c>
      <c r="AB48" s="498">
        <v>9000</v>
      </c>
      <c r="AC48" s="499">
        <v>4</v>
      </c>
      <c r="AD48" s="287">
        <v>4</v>
      </c>
      <c r="AE48" s="287"/>
    </row>
    <row r="49" spans="1:31">
      <c r="A49" s="407" t="s">
        <v>55</v>
      </c>
      <c r="B49" s="363"/>
      <c r="C49" s="356"/>
      <c r="D49" s="356"/>
      <c r="E49" s="364"/>
      <c r="F49" s="356"/>
      <c r="G49" s="356"/>
      <c r="H49" s="356"/>
      <c r="I49" s="356"/>
      <c r="J49" s="356"/>
      <c r="K49" s="364"/>
      <c r="L49" s="364"/>
      <c r="M49" s="364"/>
      <c r="N49" s="364"/>
      <c r="O49" s="377"/>
      <c r="P49" s="377"/>
      <c r="Q49" s="373"/>
      <c r="R49" s="373"/>
      <c r="S49" s="373"/>
      <c r="T49" s="373"/>
      <c r="U49" s="373"/>
      <c r="V49" s="496" t="s">
        <v>422</v>
      </c>
      <c r="W49" s="500">
        <v>91999912</v>
      </c>
      <c r="X49" s="435" t="s">
        <v>722</v>
      </c>
      <c r="Y49" s="435" t="s">
        <v>722</v>
      </c>
      <c r="Z49" s="497">
        <v>0.70833333333333337</v>
      </c>
      <c r="AA49" s="497">
        <v>0.83333333333333337</v>
      </c>
      <c r="AB49" s="498">
        <v>9000</v>
      </c>
      <c r="AC49" s="499">
        <v>3</v>
      </c>
      <c r="AD49" s="287">
        <v>3</v>
      </c>
      <c r="AE49" s="287"/>
    </row>
    <row r="50" spans="1:31">
      <c r="A50" s="417" t="s">
        <v>573</v>
      </c>
      <c r="B50" s="326">
        <f>ROUND(MIN(B117,27800000)*'New Hire'!C54,0)</f>
        <v>728000</v>
      </c>
      <c r="C50" s="326">
        <f>ROUND(MIN(C$117,27800000)*'New Hire'!D54,0)</f>
        <v>580320</v>
      </c>
      <c r="D50" s="326">
        <f>ROUND(MIN(D$117,27800000)*'New Hire'!E54,0)</f>
        <v>0</v>
      </c>
      <c r="E50" s="326">
        <f>ROUND(MIN(E$117,27800000)*'New Hire'!F54,0)</f>
        <v>880000</v>
      </c>
      <c r="F50" s="326">
        <f>ROUND(MIN(F$117,27800000)*'New Hire'!G54,0)</f>
        <v>0</v>
      </c>
      <c r="G50" s="326">
        <f>ROUND(MIN(G$117,27800000)*'New Hire'!H54,0)</f>
        <v>0</v>
      </c>
      <c r="H50" s="326">
        <f>ROUND(MIN(H$117,27800000)*'New Hire'!I54,0)</f>
        <v>0</v>
      </c>
      <c r="I50" s="326">
        <f>ROUND(MIN(I$117,27800000)*'New Hire'!J54,0)</f>
        <v>0</v>
      </c>
      <c r="J50" s="326">
        <f>ROUND(MIN(J$117,27800000)*'New Hire'!K54,0)</f>
        <v>2224000</v>
      </c>
      <c r="K50" s="326">
        <f>ROUND(MIN(K$117,27800000)*'New Hire'!L54,0)</f>
        <v>0</v>
      </c>
      <c r="L50" s="326">
        <f>ROUND(MIN(L$117,27800000)*'New Hire'!M54,0)</f>
        <v>920000</v>
      </c>
      <c r="M50" s="326">
        <f>ROUND(MIN(M$117,27800000)*'New Hire'!N54,0)</f>
        <v>0</v>
      </c>
      <c r="N50" s="326">
        <f>ROUND(MIN(N$117,27800000)*'New Hire'!O54,0)</f>
        <v>0</v>
      </c>
      <c r="O50" s="326">
        <f>ROUND(MIN(O$117,27800000)*'New Hire'!P54,0)</f>
        <v>0</v>
      </c>
      <c r="P50" s="338">
        <f t="shared" ref="P50:P58" si="15">SUM(B50:O50)</f>
        <v>5332320</v>
      </c>
      <c r="Q50" s="373"/>
      <c r="R50" s="373"/>
      <c r="S50" s="373"/>
      <c r="T50" s="373"/>
      <c r="U50" s="373"/>
      <c r="V50" s="496" t="s">
        <v>422</v>
      </c>
      <c r="W50" s="500">
        <v>91999912</v>
      </c>
      <c r="X50" s="435" t="s">
        <v>723</v>
      </c>
      <c r="Y50" s="435" t="s">
        <v>723</v>
      </c>
      <c r="Z50" s="497">
        <v>0.70833333333333337</v>
      </c>
      <c r="AA50" s="497">
        <v>0.83333333333333337</v>
      </c>
      <c r="AB50" s="498">
        <v>9000</v>
      </c>
      <c r="AC50" s="499">
        <v>3</v>
      </c>
      <c r="AD50" s="287">
        <v>0.5</v>
      </c>
      <c r="AE50" s="287"/>
    </row>
    <row r="51" spans="1:31">
      <c r="A51" s="436" t="s">
        <v>574</v>
      </c>
      <c r="B51" s="326">
        <f>ROUND(MIN(B118,83600000)*'New Hire'!C57,0)</f>
        <v>91000</v>
      </c>
      <c r="C51" s="326">
        <f>ROUND(MIN(C118,83600000)*'New Hire'!D57,0)</f>
        <v>72540</v>
      </c>
      <c r="D51" s="326">
        <v>0</v>
      </c>
      <c r="E51" s="326">
        <f>ROUND(MIN(E118,83600000)*'New Hire'!F57,0)</f>
        <v>110000</v>
      </c>
      <c r="F51" s="326">
        <f>ROUND(MIN(F118,83600000)*'New Hire'!G57,0)</f>
        <v>0</v>
      </c>
      <c r="G51" s="326">
        <f>ROUND(MIN(G118,83600000)*'New Hire'!H57,0)</f>
        <v>0</v>
      </c>
      <c r="H51" s="326">
        <f>ROUND(MIN(H118,83600000)*'New Hire'!I57,0)</f>
        <v>0</v>
      </c>
      <c r="I51" s="326">
        <f>ROUND(MIN(I118,83600000)*'New Hire'!J57,0)</f>
        <v>0</v>
      </c>
      <c r="J51" s="326">
        <f>ROUND(MIN(J118,83600000)*'New Hire'!K57,0)</f>
        <v>429000</v>
      </c>
      <c r="K51" s="326">
        <f>ROUND(MIN(K118,83600000)*'New Hire'!L57,0)</f>
        <v>0</v>
      </c>
      <c r="L51" s="326">
        <f>ROUND(MIN(L118,83600000)*'New Hire'!M57,0)</f>
        <v>115000</v>
      </c>
      <c r="M51" s="326">
        <f>ROUND(MIN(M118,83600000)*'New Hire'!N57,0)</f>
        <v>0</v>
      </c>
      <c r="N51" s="326">
        <f>ROUND(MIN(N118,83600000)*'New Hire'!O57,0)</f>
        <v>0</v>
      </c>
      <c r="O51" s="326">
        <f>ROUND(MIN(O118,83600000)*'New Hire'!P57,0)</f>
        <v>0</v>
      </c>
      <c r="P51" s="338">
        <f t="shared" si="15"/>
        <v>817540</v>
      </c>
      <c r="Q51" s="373"/>
      <c r="R51" s="373"/>
      <c r="S51" s="373"/>
      <c r="T51" s="373"/>
      <c r="U51" s="373"/>
      <c r="V51" s="496" t="s">
        <v>422</v>
      </c>
      <c r="W51" s="500">
        <v>91999913</v>
      </c>
      <c r="X51" s="435" t="s">
        <v>725</v>
      </c>
      <c r="Y51" s="435" t="s">
        <v>725</v>
      </c>
      <c r="Z51" s="497">
        <v>0.79166666666666663</v>
      </c>
      <c r="AA51" s="497">
        <v>0.97916666666666663</v>
      </c>
      <c r="AB51" s="498">
        <v>9000</v>
      </c>
      <c r="AC51" s="499">
        <v>4</v>
      </c>
      <c r="AD51" s="287">
        <v>3</v>
      </c>
      <c r="AE51" s="287">
        <v>1</v>
      </c>
    </row>
    <row r="52" spans="1:31">
      <c r="A52" s="436" t="s">
        <v>575</v>
      </c>
      <c r="B52" s="326">
        <f>ROUND(MIN(B117,27800000)*'New Hire'!C60,0)</f>
        <v>136500</v>
      </c>
      <c r="C52" s="326">
        <f>ROUND(MIN(C117,27800000)*'New Hire'!D60,0)</f>
        <v>108810</v>
      </c>
      <c r="D52" s="326">
        <v>0</v>
      </c>
      <c r="E52" s="326">
        <f>ROUND(MIN(E117,27800000)*'New Hire'!F60,0)</f>
        <v>165000</v>
      </c>
      <c r="F52" s="326">
        <f>ROUND(MIN(F117,27800000)*'New Hire'!G60,0)</f>
        <v>0</v>
      </c>
      <c r="G52" s="326">
        <f>ROUND(MIN(G117,27800000)*'New Hire'!H60,0)</f>
        <v>417000</v>
      </c>
      <c r="H52" s="326">
        <f>ROUND(MIN(H117,27800000)*'New Hire'!I60,0)</f>
        <v>417000</v>
      </c>
      <c r="I52" s="326">
        <f>ROUND(MIN(I117,27800000)*'New Hire'!J60,0)</f>
        <v>417000</v>
      </c>
      <c r="J52" s="326">
        <f>ROUND(MIN(J117,27800000)*'New Hire'!K60,0)</f>
        <v>417000</v>
      </c>
      <c r="K52" s="326">
        <f>ROUND(MIN(K117,27800000)*'New Hire'!L60,0)</f>
        <v>0</v>
      </c>
      <c r="L52" s="326">
        <f>ROUND(MIN(L117,27800000)*'New Hire'!M60,0)</f>
        <v>172500</v>
      </c>
      <c r="M52" s="326">
        <f>ROUND(MIN(M117,27800000)*'New Hire'!N60,0)</f>
        <v>0</v>
      </c>
      <c r="N52" s="326">
        <f>ROUND(MIN(N117,27800000)*'New Hire'!O60,0)</f>
        <v>0</v>
      </c>
      <c r="O52" s="326">
        <f>ROUND(MIN(O117,27800000)*'New Hire'!P60,0)</f>
        <v>0</v>
      </c>
      <c r="P52" s="338">
        <f t="shared" si="15"/>
        <v>2250810</v>
      </c>
      <c r="Q52" s="373"/>
      <c r="R52" s="373"/>
      <c r="S52" s="373"/>
      <c r="T52" s="373"/>
      <c r="U52" s="373"/>
      <c r="V52" s="496" t="s">
        <v>422</v>
      </c>
      <c r="W52" s="500">
        <v>91999901</v>
      </c>
      <c r="X52" s="435" t="s">
        <v>693</v>
      </c>
      <c r="Y52" s="435" t="s">
        <v>693</v>
      </c>
      <c r="Z52" s="497">
        <v>0.8125</v>
      </c>
      <c r="AA52" s="497">
        <v>0</v>
      </c>
      <c r="AB52" s="498">
        <v>9012</v>
      </c>
      <c r="AC52" s="499">
        <v>4.5</v>
      </c>
      <c r="AD52" s="287">
        <v>2.5</v>
      </c>
      <c r="AE52" s="287">
        <v>2</v>
      </c>
    </row>
    <row r="53" spans="1:31">
      <c r="A53" s="405" t="s">
        <v>111</v>
      </c>
      <c r="B53" s="325">
        <f>B124</f>
        <v>0</v>
      </c>
      <c r="C53" s="326">
        <f>C124</f>
        <v>0</v>
      </c>
      <c r="D53" s="326">
        <f t="shared" ref="D53:O53" si="16">D124</f>
        <v>0</v>
      </c>
      <c r="E53" s="326">
        <f t="shared" si="16"/>
        <v>1065563</v>
      </c>
      <c r="F53" s="326">
        <f t="shared" si="16"/>
        <v>1280000</v>
      </c>
      <c r="G53" s="326">
        <f t="shared" si="16"/>
        <v>13601700</v>
      </c>
      <c r="H53" s="326">
        <f t="shared" si="16"/>
        <v>16140146</v>
      </c>
      <c r="I53" s="326">
        <f t="shared" si="16"/>
        <v>13821256</v>
      </c>
      <c r="J53" s="326">
        <f t="shared" si="16"/>
        <v>4516000</v>
      </c>
      <c r="K53" s="326">
        <f t="shared" si="16"/>
        <v>200000</v>
      </c>
      <c r="L53" s="326">
        <f t="shared" si="16"/>
        <v>64625</v>
      </c>
      <c r="M53" s="326">
        <f t="shared" si="16"/>
        <v>118269</v>
      </c>
      <c r="N53" s="326">
        <f t="shared" si="16"/>
        <v>7500</v>
      </c>
      <c r="O53" s="326">
        <f t="shared" si="16"/>
        <v>525000</v>
      </c>
      <c r="P53" s="338">
        <f t="shared" si="15"/>
        <v>51340059</v>
      </c>
      <c r="Q53" s="373"/>
      <c r="R53" s="373"/>
      <c r="S53" s="373"/>
      <c r="T53" s="373"/>
      <c r="U53" s="373"/>
      <c r="V53" s="496" t="s">
        <v>422</v>
      </c>
      <c r="W53" s="500">
        <v>91999901</v>
      </c>
      <c r="X53" s="435" t="s">
        <v>697</v>
      </c>
      <c r="Y53" s="435" t="s">
        <v>697</v>
      </c>
      <c r="Z53" s="497">
        <v>0.8125</v>
      </c>
      <c r="AA53" s="497">
        <v>0.85416666666666663</v>
      </c>
      <c r="AB53" s="498">
        <v>9000</v>
      </c>
      <c r="AC53" s="499">
        <v>1</v>
      </c>
      <c r="AD53" s="287">
        <v>1</v>
      </c>
      <c r="AE53" s="287"/>
    </row>
    <row r="54" spans="1:31">
      <c r="A54" s="488" t="s">
        <v>1137</v>
      </c>
      <c r="B54" s="492"/>
      <c r="C54" s="431"/>
      <c r="D54" s="431">
        <f>ROUND(MAX(('UAT1-Jan'!D98+'UAT1-Jan'!D20)*{5;10;15;20;25;30;35}%-{0;0.25;0.75;1.65;3.25;5.85;9.85}*1000000,0),0)-'UAT1-Jan'!D101+ROUND(MAX(('UAT2-Feb'!D110+'UAT2-Feb'!D20)*{5;10;15;20;25;30;35}%-{0;0.25;0.75;1.65;3.25;5.85;9.85}*1000000,0),0)-'UAT2-Feb'!D111+ROUND(MAX(('UAT3-Mar'!D106-'UAT3-Mar'!D21)*{5;10;15;20;25;30;35}%-{0;0.25;0.75;1.65;3.25;5.85;9.85}*1000000,0),0)-'UAT3-Mar'!D108+ROUND(MAX(('UAT4-Apr'!D87-'UAT4-Apr'!D21)*{5;10;15;20;25;30;35}%-{0;0.25;0.75;1.65;3.25;5.85;9.85}*1000000,0),0)-'UAT4-Apr'!D89+ROUND(MAX(('UAT5-May'!D91-'UAT5-May'!D24)*{5;10;15;20;25;30;35}%-{0;0.25;0.75;1.65;3.25;5.85;9.85}*1000000,0),0)-'UAT5-May'!D93</f>
        <v>838212</v>
      </c>
      <c r="E54" s="431"/>
      <c r="F54" s="431"/>
      <c r="G54" s="431"/>
      <c r="H54" s="431"/>
      <c r="I54" s="431"/>
      <c r="J54" s="431"/>
      <c r="K54" s="431"/>
      <c r="L54" s="431"/>
      <c r="M54" s="431"/>
      <c r="N54" s="431"/>
      <c r="O54" s="431"/>
      <c r="P54" s="495">
        <f t="shared" si="15"/>
        <v>838212</v>
      </c>
      <c r="Q54" s="373"/>
      <c r="R54" s="373"/>
      <c r="S54" s="373"/>
      <c r="T54" s="373"/>
      <c r="U54" s="373"/>
      <c r="V54" s="496" t="s">
        <v>422</v>
      </c>
      <c r="W54" s="500">
        <v>91999901</v>
      </c>
      <c r="X54" s="435" t="s">
        <v>697</v>
      </c>
      <c r="Y54" s="435" t="s">
        <v>697</v>
      </c>
      <c r="Z54" s="497">
        <v>0.85416666666666663</v>
      </c>
      <c r="AA54" s="497">
        <v>0</v>
      </c>
      <c r="AB54" s="498">
        <v>9012</v>
      </c>
      <c r="AC54" s="499">
        <v>3.5</v>
      </c>
      <c r="AD54" s="287">
        <v>1.5</v>
      </c>
      <c r="AE54" s="287">
        <v>1.5</v>
      </c>
    </row>
    <row r="55" spans="1:31">
      <c r="A55" s="436" t="s">
        <v>512</v>
      </c>
      <c r="B55" s="326"/>
      <c r="C55" s="326"/>
      <c r="D55" s="326"/>
      <c r="E55" s="326"/>
      <c r="F55" s="326"/>
      <c r="G55" s="326"/>
      <c r="H55" s="326">
        <f>H112-H69</f>
        <v>328767</v>
      </c>
      <c r="I55" s="326"/>
      <c r="J55" s="326"/>
      <c r="K55" s="326"/>
      <c r="L55" s="326"/>
      <c r="M55" s="326"/>
      <c r="N55" s="326"/>
      <c r="O55" s="326"/>
      <c r="P55" s="338">
        <f t="shared" si="15"/>
        <v>328767</v>
      </c>
      <c r="Q55" s="373"/>
      <c r="R55" s="373"/>
      <c r="S55" s="373"/>
      <c r="T55" s="373"/>
      <c r="U55" s="373"/>
      <c r="V55" s="496" t="s">
        <v>422</v>
      </c>
      <c r="W55" s="500">
        <v>91999909</v>
      </c>
      <c r="X55" s="435" t="s">
        <v>693</v>
      </c>
      <c r="Y55" s="435" t="s">
        <v>693</v>
      </c>
      <c r="Z55" s="497">
        <v>0.83333333333333337</v>
      </c>
      <c r="AA55" s="497">
        <v>0</v>
      </c>
      <c r="AB55" s="498">
        <v>9012</v>
      </c>
      <c r="AC55" s="499">
        <v>4</v>
      </c>
      <c r="AD55" s="287">
        <v>4</v>
      </c>
      <c r="AE55" s="287"/>
    </row>
    <row r="56" spans="1:31">
      <c r="A56" s="436" t="s">
        <v>533</v>
      </c>
      <c r="B56" s="326"/>
      <c r="C56" s="326">
        <f>IF(OR(C23="A",C23="B"),ROUND(2369796*C24*(C20+C21)/365,0),ROUND(2466.55*$B$4*C24*(C20+C21)/365,0))-C44</f>
        <v>38956</v>
      </c>
      <c r="D56" s="326"/>
      <c r="E56" s="326">
        <f>IF(OR(E23="A",E23="B"),ROUND(2369796*E24*(E20+E21)/365,0),ROUND(2466.55*$B$4*E24*(E20+E21)/365,0))-E44</f>
        <v>292167</v>
      </c>
      <c r="F56" s="326"/>
      <c r="G56" s="326"/>
      <c r="H56" s="326">
        <f>IF(OR(H23="A",H23="B"),ROUND(2369796*H24*(H20+H21)/365,0),ROUND(2466.55*$B$4*H24*(H20+H21)/365,0))-H44</f>
        <v>4704353</v>
      </c>
      <c r="I56" s="326"/>
      <c r="J56" s="326"/>
      <c r="K56" s="326"/>
      <c r="L56" s="326"/>
      <c r="M56" s="326"/>
      <c r="N56" s="326"/>
      <c r="O56" s="326"/>
      <c r="P56" s="339">
        <f t="shared" si="15"/>
        <v>5035476</v>
      </c>
      <c r="Q56" s="373"/>
      <c r="R56" s="373"/>
      <c r="S56" s="373"/>
      <c r="T56" s="373"/>
      <c r="U56" s="373"/>
      <c r="V56" s="496" t="s">
        <v>422</v>
      </c>
      <c r="W56" s="500">
        <v>91999909</v>
      </c>
      <c r="X56" s="435" t="s">
        <v>697</v>
      </c>
      <c r="Y56" s="435" t="s">
        <v>697</v>
      </c>
      <c r="Z56" s="497">
        <v>0.83333333333333337</v>
      </c>
      <c r="AA56" s="497">
        <v>0</v>
      </c>
      <c r="AB56" s="498">
        <v>9012</v>
      </c>
      <c r="AC56" s="499">
        <v>4</v>
      </c>
      <c r="AD56" s="287">
        <v>4</v>
      </c>
      <c r="AE56" s="287"/>
    </row>
    <row r="57" spans="1:31">
      <c r="A57" s="436" t="s">
        <v>536</v>
      </c>
      <c r="B57" s="326"/>
      <c r="C57" s="326"/>
      <c r="D57" s="326"/>
      <c r="E57" s="326"/>
      <c r="F57" s="326"/>
      <c r="G57" s="326"/>
      <c r="H57" s="326">
        <f>H113</f>
        <v>575342</v>
      </c>
      <c r="I57" s="326"/>
      <c r="J57" s="326"/>
      <c r="K57" s="326"/>
      <c r="L57" s="326"/>
      <c r="M57" s="326"/>
      <c r="N57" s="326"/>
      <c r="O57" s="326"/>
      <c r="P57" s="338">
        <f t="shared" si="15"/>
        <v>575342</v>
      </c>
      <c r="Q57" s="373"/>
      <c r="R57" s="373"/>
      <c r="S57" s="341"/>
      <c r="T57" s="341"/>
      <c r="U57" s="341"/>
      <c r="V57" s="496" t="s">
        <v>422</v>
      </c>
      <c r="W57" s="524">
        <v>91999908</v>
      </c>
      <c r="X57" s="525" t="s">
        <v>863</v>
      </c>
      <c r="Y57" s="525" t="s">
        <v>863</v>
      </c>
      <c r="Z57" s="497"/>
      <c r="AA57" s="497"/>
      <c r="AB57" s="498">
        <v>9002</v>
      </c>
      <c r="AC57" s="499">
        <v>4</v>
      </c>
    </row>
    <row r="58" spans="1:31">
      <c r="A58" s="436" t="s">
        <v>537</v>
      </c>
      <c r="B58" s="326"/>
      <c r="C58" s="326"/>
      <c r="D58" s="326"/>
      <c r="E58" s="326"/>
      <c r="F58" s="326"/>
      <c r="G58" s="326"/>
      <c r="H58" s="326">
        <f>IF(OR(H23="A",H23="B"),0,ROUND(ROUND(297.1*$B$4,0)/365*(H20+H21),0))*H24</f>
        <v>1133294</v>
      </c>
      <c r="I58" s="326"/>
      <c r="J58" s="326"/>
      <c r="K58" s="326"/>
      <c r="L58" s="326"/>
      <c r="M58" s="326"/>
      <c r="N58" s="326"/>
      <c r="O58" s="326"/>
      <c r="P58" s="339">
        <f t="shared" si="15"/>
        <v>1133294</v>
      </c>
      <c r="Q58" s="341"/>
      <c r="R58" s="341"/>
      <c r="S58" s="341"/>
      <c r="T58" s="341"/>
      <c r="U58" s="341"/>
      <c r="V58" s="49" t="s">
        <v>1124</v>
      </c>
      <c r="W58" s="347">
        <v>91999903</v>
      </c>
      <c r="X58" s="283" t="s">
        <v>1125</v>
      </c>
      <c r="Y58" s="283" t="s">
        <v>1125</v>
      </c>
      <c r="Z58" s="286"/>
      <c r="AA58" s="286"/>
      <c r="AB58" s="284">
        <v>9801</v>
      </c>
      <c r="AC58" s="467"/>
    </row>
    <row r="59" spans="1:31">
      <c r="A59" s="405"/>
      <c r="B59" s="365"/>
      <c r="C59" s="366"/>
      <c r="D59" s="366"/>
      <c r="E59" s="367"/>
      <c r="F59" s="366"/>
      <c r="G59" s="366"/>
      <c r="H59" s="366"/>
      <c r="I59" s="366"/>
      <c r="J59" s="366"/>
      <c r="K59" s="367"/>
      <c r="L59" s="367"/>
      <c r="M59" s="367"/>
      <c r="N59" s="367"/>
      <c r="O59" s="397"/>
      <c r="P59" s="349"/>
      <c r="Q59" s="373"/>
      <c r="R59" s="373"/>
      <c r="S59" s="373"/>
      <c r="T59" s="373"/>
      <c r="U59" s="373"/>
      <c r="V59" s="49"/>
      <c r="W59" s="347"/>
      <c r="X59" s="283"/>
      <c r="Y59" s="283"/>
      <c r="Z59" s="286"/>
      <c r="AA59" s="286"/>
      <c r="AB59" s="284"/>
      <c r="AC59" s="467"/>
    </row>
    <row r="60" spans="1:31">
      <c r="A60" s="413" t="s">
        <v>4</v>
      </c>
      <c r="B60" s="359">
        <f t="shared" ref="B60:O60" si="17">SUM(B50:B59)</f>
        <v>955500</v>
      </c>
      <c r="C60" s="360">
        <f t="shared" si="17"/>
        <v>800626</v>
      </c>
      <c r="D60" s="360">
        <f t="shared" si="17"/>
        <v>838212</v>
      </c>
      <c r="E60" s="360">
        <f t="shared" si="17"/>
        <v>2512730</v>
      </c>
      <c r="F60" s="360">
        <f t="shared" si="17"/>
        <v>1280000</v>
      </c>
      <c r="G60" s="360">
        <f t="shared" si="17"/>
        <v>14018700</v>
      </c>
      <c r="H60" s="360">
        <f t="shared" si="17"/>
        <v>23298902</v>
      </c>
      <c r="I60" s="360">
        <f t="shared" si="17"/>
        <v>14238256</v>
      </c>
      <c r="J60" s="360">
        <f t="shared" si="17"/>
        <v>7586000</v>
      </c>
      <c r="K60" s="360">
        <f t="shared" si="17"/>
        <v>200000</v>
      </c>
      <c r="L60" s="360">
        <f t="shared" si="17"/>
        <v>1272125</v>
      </c>
      <c r="M60" s="360">
        <f t="shared" si="17"/>
        <v>118269</v>
      </c>
      <c r="N60" s="480">
        <f t="shared" si="17"/>
        <v>7500</v>
      </c>
      <c r="O60" s="481">
        <f t="shared" si="17"/>
        <v>525000</v>
      </c>
      <c r="P60" s="349">
        <f>SUM(B60:O60)</f>
        <v>67651820</v>
      </c>
      <c r="Q60" s="373"/>
      <c r="R60" s="373"/>
      <c r="S60" s="373"/>
      <c r="T60" s="373"/>
      <c r="U60" s="373"/>
      <c r="V60" s="49"/>
      <c r="W60" s="347"/>
      <c r="X60" s="283"/>
      <c r="Y60" s="283"/>
      <c r="Z60" s="286"/>
      <c r="AA60" s="286"/>
      <c r="AB60" s="284"/>
      <c r="AC60" s="467"/>
    </row>
    <row r="61" spans="1:31">
      <c r="A61" s="414"/>
      <c r="B61" s="325"/>
      <c r="C61" s="326"/>
      <c r="D61" s="326"/>
      <c r="E61" s="334"/>
      <c r="F61" s="326"/>
      <c r="G61" s="326"/>
      <c r="H61" s="326"/>
      <c r="I61" s="326"/>
      <c r="J61" s="326"/>
      <c r="K61" s="334"/>
      <c r="L61" s="334"/>
      <c r="M61" s="334"/>
      <c r="N61" s="334"/>
      <c r="O61" s="395"/>
      <c r="P61" s="349"/>
      <c r="Q61" s="373"/>
      <c r="R61" s="373"/>
      <c r="S61" s="373"/>
      <c r="T61" s="373"/>
      <c r="U61" s="373"/>
      <c r="V61" s="49"/>
      <c r="W61" s="347"/>
      <c r="X61" s="348"/>
      <c r="Y61" s="348"/>
      <c r="Z61" s="286"/>
      <c r="AA61" s="286"/>
      <c r="AB61" s="284"/>
      <c r="AC61" s="467"/>
    </row>
    <row r="62" spans="1:31" ht="14.4" thickBot="1">
      <c r="A62" s="410" t="s">
        <v>5</v>
      </c>
      <c r="B62" s="327">
        <f t="shared" ref="B62:O62" si="18">B46-B60</f>
        <v>8187769</v>
      </c>
      <c r="C62" s="328">
        <f t="shared" si="18"/>
        <v>6453374</v>
      </c>
      <c r="D62" s="328">
        <f t="shared" si="18"/>
        <v>4911763</v>
      </c>
      <c r="E62" s="328">
        <f t="shared" si="18"/>
        <v>8394626</v>
      </c>
      <c r="F62" s="328">
        <f t="shared" si="18"/>
        <v>11520000</v>
      </c>
      <c r="G62" s="328">
        <f t="shared" si="18"/>
        <v>60237300</v>
      </c>
      <c r="H62" s="328">
        <f t="shared" si="18"/>
        <v>52697473</v>
      </c>
      <c r="I62" s="328">
        <f t="shared" si="18"/>
        <v>54868022</v>
      </c>
      <c r="J62" s="328">
        <f t="shared" si="18"/>
        <v>35314000</v>
      </c>
      <c r="K62" s="328">
        <f t="shared" si="18"/>
        <v>12800000</v>
      </c>
      <c r="L62" s="328">
        <f t="shared" si="18"/>
        <v>10227875</v>
      </c>
      <c r="M62" s="328">
        <f t="shared" si="18"/>
        <v>11870185</v>
      </c>
      <c r="N62" s="328">
        <f t="shared" si="18"/>
        <v>9234375</v>
      </c>
      <c r="O62" s="398">
        <f t="shared" si="18"/>
        <v>4725000</v>
      </c>
      <c r="P62" s="349">
        <f>SUM(B62:O62)</f>
        <v>291441762</v>
      </c>
      <c r="Q62" s="373"/>
      <c r="R62" s="373"/>
      <c r="S62" s="373"/>
      <c r="T62" s="373"/>
      <c r="U62" s="373"/>
      <c r="V62" s="49"/>
      <c r="W62" s="39"/>
      <c r="X62" s="7"/>
      <c r="Y62" s="7"/>
      <c r="Z62" s="286"/>
      <c r="AA62" s="286"/>
      <c r="AB62" s="284"/>
      <c r="AC62" s="467"/>
    </row>
    <row r="63" spans="1:31" ht="14.4" thickTop="1">
      <c r="A63" s="415"/>
      <c r="B63" s="325"/>
      <c r="C63" s="326"/>
      <c r="D63" s="326"/>
      <c r="E63" s="334"/>
      <c r="F63" s="326"/>
      <c r="G63" s="326"/>
      <c r="H63" s="326"/>
      <c r="I63" s="326"/>
      <c r="J63" s="326"/>
      <c r="K63" s="334"/>
      <c r="L63" s="334"/>
      <c r="M63" s="334"/>
      <c r="N63" s="334"/>
      <c r="O63" s="395"/>
      <c r="P63" s="349"/>
      <c r="Q63" s="341"/>
      <c r="R63" s="341"/>
      <c r="S63" s="341"/>
      <c r="T63" s="341"/>
      <c r="U63" s="341"/>
      <c r="V63" s="49"/>
      <c r="W63" s="39"/>
      <c r="X63" s="7"/>
      <c r="Y63" s="7"/>
      <c r="Z63" s="286"/>
      <c r="AA63" s="286"/>
      <c r="AB63" s="284"/>
      <c r="AC63" s="467"/>
    </row>
    <row r="64" spans="1:31" ht="15.6">
      <c r="A64" s="404" t="s">
        <v>62</v>
      </c>
      <c r="B64" s="368"/>
      <c r="C64" s="399"/>
      <c r="D64" s="399"/>
      <c r="E64" s="364"/>
      <c r="F64" s="399"/>
      <c r="G64" s="399"/>
      <c r="H64" s="400"/>
      <c r="I64" s="399"/>
      <c r="J64" s="399"/>
      <c r="K64" s="364"/>
      <c r="L64" s="364"/>
      <c r="M64" s="364"/>
      <c r="N64" s="364"/>
      <c r="O64" s="377"/>
      <c r="P64" s="377"/>
      <c r="Q64" s="373"/>
      <c r="R64" s="373"/>
      <c r="S64" s="373"/>
      <c r="T64" s="373"/>
      <c r="U64" s="373"/>
      <c r="V64" s="49"/>
      <c r="W64" s="39"/>
      <c r="X64" s="7"/>
      <c r="Y64" s="7"/>
      <c r="Z64" s="286"/>
      <c r="AA64" s="286"/>
      <c r="AB64" s="284"/>
      <c r="AC64" s="467"/>
    </row>
    <row r="65" spans="1:29">
      <c r="A65" s="417" t="s">
        <v>570</v>
      </c>
      <c r="B65" s="326">
        <f>ROUND(B117*'New Hire'!C55,0)</f>
        <v>1547000</v>
      </c>
      <c r="C65" s="326">
        <f>ROUND(C117*'New Hire'!D55,0)</f>
        <v>1269450</v>
      </c>
      <c r="D65" s="326">
        <v>0</v>
      </c>
      <c r="E65" s="326">
        <f>ROUND(E117*'New Hire'!F55,0)</f>
        <v>1870000</v>
      </c>
      <c r="F65" s="326">
        <f>ROUND(F117*'New Hire'!G55,0)</f>
        <v>0</v>
      </c>
      <c r="G65" s="326">
        <f>ROUND(G117*'New Hire'!H55,0)</f>
        <v>973000</v>
      </c>
      <c r="H65" s="326">
        <f>ROUND(H117*'New Hire'!I55,0)</f>
        <v>834000</v>
      </c>
      <c r="I65" s="326">
        <f>ROUND(I117*'New Hire'!J55,0)</f>
        <v>139000</v>
      </c>
      <c r="J65" s="326">
        <f>ROUND(J117*'New Hire'!K55,0)</f>
        <v>4726000</v>
      </c>
      <c r="K65" s="326">
        <f>ROUND(K117*'New Hire'!L55,0)</f>
        <v>0</v>
      </c>
      <c r="L65" s="326">
        <f>ROUND(L117*'New Hire'!M55,0)</f>
        <v>1955000</v>
      </c>
      <c r="M65" s="326">
        <f>ROUND(M117*'New Hire'!N55,0)</f>
        <v>0</v>
      </c>
      <c r="N65" s="326">
        <f>ROUND(N117*'New Hire'!O55,0)</f>
        <v>0</v>
      </c>
      <c r="O65" s="326">
        <f>ROUND(O117*'New Hire'!P55,0)</f>
        <v>0</v>
      </c>
      <c r="P65" s="339">
        <f>SUM(B65:O65)</f>
        <v>13313450</v>
      </c>
      <c r="Q65" s="373"/>
      <c r="R65" s="373"/>
      <c r="S65" s="373"/>
      <c r="T65" s="373"/>
      <c r="U65" s="373"/>
      <c r="V65" s="49"/>
      <c r="W65" s="39"/>
      <c r="X65" s="7"/>
      <c r="Y65" s="7"/>
      <c r="Z65" s="286"/>
      <c r="AA65" s="286"/>
      <c r="AB65" s="284"/>
      <c r="AC65" s="467"/>
    </row>
    <row r="66" spans="1:29">
      <c r="A66" s="436" t="s">
        <v>571</v>
      </c>
      <c r="B66" s="326">
        <f>ROUND(MIN(B118,83600000)*'New Hire'!C58,0)</f>
        <v>91000</v>
      </c>
      <c r="C66" s="326">
        <f>ROUND(MIN(C118,83600000)*'New Hire'!D58,0)</f>
        <v>72540</v>
      </c>
      <c r="D66" s="326">
        <v>0</v>
      </c>
      <c r="E66" s="326">
        <f>ROUND(MIN(E118,83600000)*'New Hire'!F58,0)</f>
        <v>110000</v>
      </c>
      <c r="F66" s="326">
        <f>ROUND(MIN(F118,83600000)*'New Hire'!G58,0)</f>
        <v>0</v>
      </c>
      <c r="G66" s="326">
        <f>ROUND(MIN(G118,83600000)*'New Hire'!H58,0)</f>
        <v>0</v>
      </c>
      <c r="H66" s="326">
        <f>ROUND(MIN(H118,83600000)*'New Hire'!I58,0)</f>
        <v>0</v>
      </c>
      <c r="I66" s="326">
        <f>ROUND(MIN(I118,83600000)*'New Hire'!J58,0)</f>
        <v>0</v>
      </c>
      <c r="J66" s="326">
        <f>ROUND(MIN(J118,83600000)*'New Hire'!K58,0)</f>
        <v>429000</v>
      </c>
      <c r="K66" s="326">
        <f>ROUND(MIN(K118,83600000)*'New Hire'!L58,0)</f>
        <v>0</v>
      </c>
      <c r="L66" s="326">
        <f>ROUND(MIN(L118,83600000)*'New Hire'!M58,0)</f>
        <v>115000</v>
      </c>
      <c r="M66" s="326">
        <f>ROUND(MIN(M118,83600000)*'New Hire'!N58,0)</f>
        <v>0</v>
      </c>
      <c r="N66" s="326">
        <f>ROUND(MIN(N118,83600000)*'New Hire'!O58,0)</f>
        <v>0</v>
      </c>
      <c r="O66" s="326">
        <f>ROUND(MIN(O118,83600000)*'New Hire'!P58,0)</f>
        <v>0</v>
      </c>
      <c r="P66" s="339">
        <f>SUM(B66:O66)</f>
        <v>817540</v>
      </c>
      <c r="Q66" s="373"/>
      <c r="R66" s="373"/>
      <c r="S66" s="373"/>
      <c r="T66" s="373"/>
      <c r="U66" s="373"/>
      <c r="V66" s="49"/>
      <c r="W66" s="39"/>
      <c r="X66" s="7"/>
      <c r="Y66" s="7"/>
      <c r="Z66" s="286"/>
      <c r="AA66" s="286"/>
      <c r="AB66" s="284"/>
      <c r="AC66" s="467"/>
    </row>
    <row r="67" spans="1:29">
      <c r="A67" s="436" t="s">
        <v>572</v>
      </c>
      <c r="B67" s="326">
        <f>ROUND(B117*'New Hire'!C61,0)</f>
        <v>273000</v>
      </c>
      <c r="C67" s="326">
        <f>ROUND(C117*'New Hire'!D61,0)</f>
        <v>217620</v>
      </c>
      <c r="D67" s="326">
        <v>0</v>
      </c>
      <c r="E67" s="326">
        <f>ROUND(E117*'New Hire'!F61,0)</f>
        <v>330000</v>
      </c>
      <c r="F67" s="326">
        <f>ROUND(F117*'New Hire'!G61,0)</f>
        <v>0</v>
      </c>
      <c r="G67" s="326">
        <f>ROUND(G117*'New Hire'!H61,0)</f>
        <v>834000</v>
      </c>
      <c r="H67" s="326">
        <f>ROUND(H117*'New Hire'!I61,0)</f>
        <v>834000</v>
      </c>
      <c r="I67" s="326">
        <f>ROUND(I117*'New Hire'!J61,0)</f>
        <v>834000</v>
      </c>
      <c r="J67" s="326">
        <f>ROUND(J117*'New Hire'!K61,0)</f>
        <v>834000</v>
      </c>
      <c r="K67" s="326">
        <f>ROUND(K117*'New Hire'!L61,0)</f>
        <v>0</v>
      </c>
      <c r="L67" s="326">
        <f>ROUND(L117*'New Hire'!M61,0)</f>
        <v>345000</v>
      </c>
      <c r="M67" s="326">
        <f>ROUND(M117*'New Hire'!N61,0)</f>
        <v>0</v>
      </c>
      <c r="N67" s="326">
        <f>ROUND(N117*'New Hire'!O61,0)</f>
        <v>0</v>
      </c>
      <c r="O67" s="326">
        <f>ROUND(O117*'New Hire'!P61,0)</f>
        <v>0</v>
      </c>
      <c r="P67" s="339">
        <f>SUM(B67:O67)</f>
        <v>4501620</v>
      </c>
      <c r="Q67" s="373"/>
      <c r="R67" s="373"/>
      <c r="S67" s="373"/>
      <c r="T67" s="373"/>
      <c r="U67" s="373"/>
      <c r="V67" s="49"/>
      <c r="W67" s="39"/>
      <c r="X67" s="7"/>
      <c r="Y67" s="7"/>
      <c r="Z67" s="286"/>
      <c r="AA67" s="286"/>
      <c r="AB67" s="284"/>
      <c r="AC67" s="467"/>
    </row>
    <row r="68" spans="1:29">
      <c r="A68" s="436" t="s">
        <v>1071</v>
      </c>
      <c r="B68" s="326">
        <f>IF(B50+B65=0,0,ROUND(MIN(B117,29800000)*2%,0))</f>
        <v>182000</v>
      </c>
      <c r="C68" s="326">
        <f t="shared" ref="C68:O68" si="19">IF(C50+C65=0,0,ROUND(MIN(C117,29800000)*2%,0))</f>
        <v>145080</v>
      </c>
      <c r="D68" s="326">
        <f t="shared" si="19"/>
        <v>0</v>
      </c>
      <c r="E68" s="326">
        <f t="shared" si="19"/>
        <v>220000</v>
      </c>
      <c r="F68" s="326">
        <f t="shared" si="19"/>
        <v>0</v>
      </c>
      <c r="G68" s="326">
        <f t="shared" si="19"/>
        <v>556000</v>
      </c>
      <c r="H68" s="326">
        <f t="shared" si="19"/>
        <v>556000</v>
      </c>
      <c r="I68" s="326">
        <f t="shared" si="19"/>
        <v>556000</v>
      </c>
      <c r="J68" s="326">
        <f t="shared" si="19"/>
        <v>556000</v>
      </c>
      <c r="K68" s="326">
        <f t="shared" si="19"/>
        <v>0</v>
      </c>
      <c r="L68" s="326">
        <f t="shared" si="19"/>
        <v>230000</v>
      </c>
      <c r="M68" s="326">
        <f t="shared" si="19"/>
        <v>0</v>
      </c>
      <c r="N68" s="326">
        <f t="shared" si="19"/>
        <v>0</v>
      </c>
      <c r="O68" s="326">
        <f t="shared" si="19"/>
        <v>0</v>
      </c>
      <c r="P68" s="339">
        <f>SUM(B68:O68)</f>
        <v>3001080</v>
      </c>
      <c r="Q68" s="373"/>
      <c r="R68" s="373"/>
      <c r="S68" s="373"/>
      <c r="T68" s="373"/>
      <c r="U68" s="373"/>
      <c r="V68" s="49"/>
      <c r="W68" s="39"/>
      <c r="X68" s="7"/>
      <c r="Y68" s="7"/>
      <c r="Z68" s="286"/>
      <c r="AA68" s="286"/>
      <c r="AB68" s="284"/>
      <c r="AC68" s="467"/>
    </row>
    <row r="69" spans="1:29">
      <c r="A69" s="436" t="s">
        <v>510</v>
      </c>
      <c r="B69" s="326">
        <f t="shared" ref="B69:N69" si="20">IF(OR(B23="A",B23="B"),B112,ROUND(B112*B15,0))</f>
        <v>657534</v>
      </c>
      <c r="C69" s="326">
        <f t="shared" si="20"/>
        <v>657534</v>
      </c>
      <c r="D69" s="326">
        <f t="shared" si="20"/>
        <v>0</v>
      </c>
      <c r="E69" s="326">
        <f t="shared" si="20"/>
        <v>657534</v>
      </c>
      <c r="F69" s="326">
        <f t="shared" si="20"/>
        <v>657534</v>
      </c>
      <c r="G69" s="326">
        <f t="shared" si="20"/>
        <v>0</v>
      </c>
      <c r="H69" s="326">
        <f>IF(OR(H23="A",H23="B"),H112,ROUND(H112*H15,0))</f>
        <v>328767</v>
      </c>
      <c r="I69" s="326">
        <f t="shared" si="20"/>
        <v>0</v>
      </c>
      <c r="J69" s="326">
        <f t="shared" si="20"/>
        <v>0</v>
      </c>
      <c r="K69" s="326">
        <f t="shared" si="20"/>
        <v>0</v>
      </c>
      <c r="L69" s="326">
        <f t="shared" si="20"/>
        <v>0</v>
      </c>
      <c r="M69" s="326">
        <f t="shared" si="20"/>
        <v>0</v>
      </c>
      <c r="N69" s="326">
        <f t="shared" si="20"/>
        <v>0</v>
      </c>
      <c r="O69" s="326">
        <f>IF(OR(O23="A",O23="B"),O112,ROUND(O112*O15,0))</f>
        <v>0</v>
      </c>
      <c r="P69" s="339">
        <f>SUM(B69:O69)</f>
        <v>2958903</v>
      </c>
      <c r="Q69" s="373"/>
      <c r="R69" s="373"/>
      <c r="S69" s="373"/>
      <c r="T69" s="373"/>
      <c r="U69" s="373"/>
      <c r="V69" s="33"/>
      <c r="W69" s="45"/>
      <c r="X69" s="13"/>
      <c r="Y69" s="13"/>
      <c r="Z69" s="13"/>
      <c r="AA69" s="13"/>
      <c r="AB69" s="13"/>
      <c r="AC69" s="18"/>
    </row>
    <row r="70" spans="1:29">
      <c r="A70" s="405"/>
      <c r="B70" s="325"/>
      <c r="C70" s="326"/>
      <c r="D70" s="326"/>
      <c r="E70" s="334"/>
      <c r="F70" s="326"/>
      <c r="G70" s="326"/>
      <c r="H70" s="326"/>
      <c r="I70" s="326"/>
      <c r="J70" s="326"/>
      <c r="K70" s="334"/>
      <c r="L70" s="334"/>
      <c r="M70" s="334"/>
      <c r="N70" s="334"/>
      <c r="O70" s="334"/>
      <c r="P70" s="339"/>
      <c r="Q70" s="373"/>
      <c r="R70" s="373"/>
      <c r="S70" s="373"/>
      <c r="T70" s="373"/>
      <c r="U70" s="373"/>
      <c r="V70" s="33"/>
      <c r="W70" s="45"/>
      <c r="X70" s="13"/>
      <c r="Y70" s="13"/>
      <c r="Z70" s="13"/>
      <c r="AA70" s="13"/>
      <c r="AB70" s="13"/>
      <c r="AC70" s="18"/>
    </row>
    <row r="71" spans="1:29" ht="15.6">
      <c r="A71" s="404" t="s">
        <v>474</v>
      </c>
      <c r="B71" s="325"/>
      <c r="C71" s="326"/>
      <c r="D71" s="326"/>
      <c r="E71" s="334"/>
      <c r="F71" s="326"/>
      <c r="G71" s="326"/>
      <c r="H71" s="326"/>
      <c r="I71" s="326"/>
      <c r="J71" s="326"/>
      <c r="K71" s="334"/>
      <c r="L71" s="334"/>
      <c r="M71" s="334"/>
      <c r="N71" s="334"/>
      <c r="O71" s="334"/>
      <c r="P71" s="339"/>
      <c r="Q71" s="373"/>
      <c r="R71" s="373"/>
      <c r="S71" s="373"/>
      <c r="T71" s="373"/>
      <c r="U71" s="373"/>
      <c r="V71" s="33"/>
      <c r="W71" s="45"/>
      <c r="X71" s="13"/>
      <c r="Y71" s="13"/>
      <c r="Z71" s="13"/>
      <c r="AA71" s="13"/>
      <c r="AB71" s="13"/>
      <c r="AC71" s="18"/>
    </row>
    <row r="72" spans="1:29">
      <c r="A72" s="436" t="s">
        <v>475</v>
      </c>
      <c r="B72" s="326">
        <f>IF(AND(OR(B13="1",B13="P"),'New Hire'!C28="Local"),ROUND(B161*B109,0)+ROUND(B162*B110,0),0)+'UAT5-May'!B60</f>
        <v>2624521</v>
      </c>
      <c r="C72" s="326">
        <f>IF(AND(OR(C13="1",C13="P"),'New Hire'!D28="Local"),ROUND(C161*C109,0)+ROUND(C162*C110,0),0)+'UAT5-May'!C60</f>
        <v>2118966</v>
      </c>
      <c r="D72" s="326">
        <f>IF(AND(OR(D13="1",D13="P"),'New Hire'!E28="Local"),ROUND(D161*D109,0)+ROUND(D162*D110,0),0)+'UAT5-May'!D60</f>
        <v>0</v>
      </c>
      <c r="E72" s="326">
        <f>IF(AND(OR(E13="1",E13="P"),'New Hire'!F28="Local"),ROUND(E161*E109,0)+ROUND(E162*E110,0),0)+'UAT5-May'!E60</f>
        <v>0</v>
      </c>
      <c r="F72" s="326">
        <f>IF(AND(OR(F13="1",F13="P"),'New Hire'!G28="Local"),ROUND(F161*F109,0)+ROUND(F162*F110,0),0)+'UAT5-May'!F60</f>
        <v>0</v>
      </c>
      <c r="G72" s="326">
        <f>IF(AND(OR(G13="1",G13="P"),'New Hire'!H28="Local"),ROUND(G161*G109,0)+ROUND(G162*G110,0),0)+'UAT5-May'!G60</f>
        <v>0</v>
      </c>
      <c r="H72" s="326">
        <f>IF(AND(OR(H13="1",H13="P"),'New Hire'!I28="Local"),ROUND(H161*H109,0)+ROUND(H162*H110,0),0)+'UAT5-May'!H60</f>
        <v>0</v>
      </c>
      <c r="I72" s="326">
        <f>IF(AND(OR(I13="1",I13="P"),'New Hire'!J28="Local"),ROUND(I161*I109,0)+ROUND(I162*I110,0),0)+'UAT5-May'!I60</f>
        <v>0</v>
      </c>
      <c r="J72" s="326">
        <f>IF(AND(OR(J13="1",J13="P"),'New Hire'!K28="Local"),ROUND(J161*J109,0)+ROUND(J162*J110,0),0)+'UAT5-May'!J60</f>
        <v>12758624</v>
      </c>
      <c r="K72" s="326">
        <f>IF(AND(OR(K13="1",K13="P"),'New Hire'!L28="Local"),ROUND(K161*K109,0)+ROUND(K162*K110,0),0)+'UAT5-May'!K60</f>
        <v>4107281</v>
      </c>
      <c r="L72" s="326">
        <f>IF(AND(OR(L13="1",L13="P"),'New Hire'!M28="Local"),ROUND(L161*L109,0)+ROUND(L162*L110,0),0)+'UAT5-May'!L60</f>
        <v>38467439</v>
      </c>
      <c r="M72" s="326">
        <f>IF(AND(OR(M13="1",M13="P"),'New Hire'!N28="Local"),ROUND(M161*M109,0)+ROUND(M162*M110,0),0)+'UAT5-May'!M60</f>
        <v>0</v>
      </c>
      <c r="N72" s="326">
        <f>IF(AND(OR(N13="1",N13="P"),'New Hire'!O28="Local"),ROUND(N161*N109,0)+ROUND(N162*N110,0),0)+'UAT5-May'!N60</f>
        <v>0</v>
      </c>
      <c r="O72" s="326">
        <f>IF(AND(OR(O13="1",O13="P"),'New Hire'!P28="Local"),ROUND(O161*O109,0)+ROUND(O162*O110,0),0)+'UAT5-May'!O60</f>
        <v>931035</v>
      </c>
      <c r="P72" s="339">
        <f>SUM(B72:O72)</f>
        <v>61007866</v>
      </c>
      <c r="Q72" s="373"/>
      <c r="R72" s="373"/>
      <c r="S72" s="373"/>
      <c r="T72" s="373"/>
      <c r="U72" s="373"/>
      <c r="V72" s="32"/>
      <c r="W72" s="44"/>
      <c r="X72" s="13"/>
      <c r="Y72" s="13"/>
      <c r="Z72" s="13"/>
      <c r="AA72" s="13"/>
      <c r="AB72" s="13"/>
      <c r="AC72" s="18"/>
    </row>
    <row r="73" spans="1:29">
      <c r="A73" s="436" t="s">
        <v>482</v>
      </c>
      <c r="B73" s="584"/>
      <c r="C73" s="584">
        <f>'UAT5-May'!C61</f>
        <v>2.5</v>
      </c>
      <c r="D73" s="584"/>
      <c r="E73" s="584"/>
      <c r="F73" s="584"/>
      <c r="G73" s="584">
        <f>CEILING(ROUND((G18+'UAT5-May'!G16)/261,2),0.5)</f>
        <v>0.5</v>
      </c>
      <c r="H73" s="584">
        <f>CEILING(ROUND(('UAT1-Jan'!AB70+'UAT1-Jan'!H14+'UAT2-Feb'!H14+'UAT3-Mar'!H14+'UAT4-Apr'!H14+'UAT5-May'!H15+H18)/261,2),0.5)</f>
        <v>5</v>
      </c>
      <c r="I73" s="584">
        <f>CEILING(ROUND(('UAT1-Jan'!I14+'UAT2-Feb'!I14+'UAT3-Mar'!I14+'UAT4-Apr'!I14+'UAT5-May'!I15+I18)/261,2),0.5)</f>
        <v>0.5</v>
      </c>
      <c r="J73" s="584"/>
      <c r="K73" s="584"/>
      <c r="L73" s="584"/>
      <c r="M73" s="584"/>
      <c r="N73" s="584">
        <f>'UAT5-May'!N61</f>
        <v>1.5</v>
      </c>
      <c r="O73" s="584"/>
      <c r="P73" s="654">
        <f>SUM(B73:O73)</f>
        <v>10</v>
      </c>
      <c r="Q73" s="373"/>
      <c r="R73" s="373"/>
      <c r="S73" s="373"/>
      <c r="T73" s="373"/>
      <c r="U73" s="373"/>
      <c r="V73" s="34"/>
      <c r="W73" s="46"/>
      <c r="X73" s="35"/>
      <c r="Y73" s="35"/>
      <c r="Z73" s="35"/>
      <c r="AA73" s="35"/>
      <c r="AB73" s="35"/>
      <c r="AC73" s="36"/>
    </row>
    <row r="74" spans="1:29">
      <c r="A74" s="436" t="s">
        <v>581</v>
      </c>
      <c r="B74" s="326">
        <f>B119+'UAT5-May'!B62</f>
        <v>49200000</v>
      </c>
      <c r="C74" s="326">
        <f>C119+'UAT5-May'!C62</f>
        <v>41733000</v>
      </c>
      <c r="D74" s="326">
        <f>D119+'UAT5-May'!D62</f>
        <v>53871957</v>
      </c>
      <c r="E74" s="326">
        <f>E119+'UAT5-May'!E62</f>
        <v>58600000</v>
      </c>
      <c r="F74" s="326">
        <f>F119+'UAT5-May'!F62</f>
        <v>71680000</v>
      </c>
      <c r="G74" s="326">
        <f>G119+'UAT5-May'!G62</f>
        <v>148512000</v>
      </c>
      <c r="H74" s="326">
        <f>H119+'UAT5-May'!H62</f>
        <v>426391875</v>
      </c>
      <c r="I74" s="326">
        <f>I119+'UAT5-May'!I62</f>
        <v>391062262</v>
      </c>
      <c r="J74" s="326">
        <f>J119+'UAT5-May'!J62</f>
        <v>237900000</v>
      </c>
      <c r="K74" s="326">
        <f>K119+'UAT5-May'!K62</f>
        <v>66460000</v>
      </c>
      <c r="L74" s="326">
        <f>L119+'UAT5-May'!L62</f>
        <v>461500000</v>
      </c>
      <c r="M74" s="326">
        <f>M119+'UAT5-May'!M62</f>
        <v>48000000</v>
      </c>
      <c r="N74" s="326">
        <f>N119+'UAT5-May'!N62</f>
        <v>54000000</v>
      </c>
      <c r="O74" s="326">
        <f>O119+'UAT5-May'!O62</f>
        <v>11250000</v>
      </c>
      <c r="P74" s="339">
        <f>SUM(B74:O74)</f>
        <v>2120161094</v>
      </c>
      <c r="Q74" s="335"/>
      <c r="R74" s="335"/>
      <c r="S74" s="335"/>
      <c r="T74" s="335"/>
      <c r="U74" s="335"/>
      <c r="V74"/>
      <c r="W74"/>
      <c r="X74"/>
      <c r="Y74"/>
      <c r="Z74"/>
      <c r="AA74"/>
      <c r="AB74"/>
      <c r="AC74"/>
    </row>
    <row r="75" spans="1:29">
      <c r="A75" s="436" t="s">
        <v>1138</v>
      </c>
      <c r="B75" s="7">
        <f>SUM(AD52:AE54)</f>
        <v>8.5</v>
      </c>
      <c r="C75" s="7"/>
      <c r="D75" s="7"/>
      <c r="E75" s="7">
        <f>SUM(AD42:AE43)</f>
        <v>7</v>
      </c>
      <c r="F75" s="7"/>
      <c r="G75" s="7"/>
      <c r="H75" s="7"/>
      <c r="I75" s="7"/>
      <c r="J75" s="7">
        <f>SUM(AD55:AD56)</f>
        <v>8</v>
      </c>
      <c r="K75" s="7"/>
      <c r="L75" s="7"/>
      <c r="M75" s="7">
        <f>SUM(AD44:AE50)</f>
        <v>30</v>
      </c>
      <c r="N75" s="7">
        <f>SUM(AD51:AE51)</f>
        <v>4</v>
      </c>
      <c r="O75" s="7"/>
      <c r="P75" s="653">
        <f>SUM(B75:O75)</f>
        <v>57.5</v>
      </c>
      <c r="Q75" s="335"/>
      <c r="R75" s="335"/>
      <c r="S75" s="335"/>
      <c r="T75" s="335"/>
      <c r="U75" s="335"/>
      <c r="V75"/>
      <c r="W75"/>
      <c r="X75"/>
      <c r="Y75"/>
      <c r="Z75"/>
      <c r="AA75"/>
      <c r="AB75"/>
      <c r="AC75"/>
    </row>
    <row r="76" spans="1:29">
      <c r="A76" s="405"/>
      <c r="B76" s="325"/>
      <c r="C76" s="326"/>
      <c r="D76" s="326"/>
      <c r="E76" s="334"/>
      <c r="F76" s="326"/>
      <c r="G76" s="326"/>
      <c r="H76" s="326"/>
      <c r="I76" s="326"/>
      <c r="J76" s="326"/>
      <c r="K76" s="334"/>
      <c r="L76" s="334"/>
      <c r="M76" s="334"/>
      <c r="N76" s="334"/>
      <c r="O76" s="334"/>
      <c r="P76" s="339"/>
      <c r="Q76" s="335"/>
      <c r="R76" s="335"/>
      <c r="S76" s="335"/>
      <c r="T76" s="335"/>
      <c r="U76" s="335"/>
      <c r="V76"/>
      <c r="W76"/>
      <c r="X76"/>
      <c r="Y76"/>
      <c r="Z76"/>
      <c r="AA76"/>
      <c r="AB76"/>
      <c r="AC76"/>
    </row>
    <row r="77" spans="1:29" ht="15.6">
      <c r="A77" s="404" t="s">
        <v>835</v>
      </c>
      <c r="B77" s="468"/>
      <c r="C77" s="468"/>
      <c r="D77" s="468"/>
      <c r="E77" s="468"/>
      <c r="F77" s="468"/>
      <c r="G77" s="468"/>
      <c r="H77" s="468"/>
      <c r="I77" s="468"/>
      <c r="J77" s="559"/>
      <c r="K77" s="468"/>
      <c r="L77" s="468"/>
      <c r="M77" s="468"/>
      <c r="N77" s="468"/>
      <c r="O77" s="468"/>
      <c r="P77" s="339"/>
      <c r="Q77" s="373"/>
      <c r="R77" s="373"/>
      <c r="S77" s="373"/>
      <c r="T77" s="373"/>
      <c r="U77" s="373"/>
      <c r="V77"/>
      <c r="W77"/>
      <c r="X77"/>
      <c r="Y77"/>
      <c r="Z77"/>
      <c r="AA77"/>
      <c r="AB77"/>
      <c r="AC77"/>
    </row>
    <row r="78" spans="1:29">
      <c r="A78" s="462" t="s">
        <v>1120</v>
      </c>
      <c r="B78" s="334">
        <f t="shared" ref="B78:O78" si="21">ROUND(B100*(B132+B133),0)</f>
        <v>0</v>
      </c>
      <c r="C78" s="334">
        <f t="shared" si="21"/>
        <v>0</v>
      </c>
      <c r="D78" s="334">
        <f t="shared" si="21"/>
        <v>0</v>
      </c>
      <c r="E78" s="334">
        <f t="shared" si="21"/>
        <v>0</v>
      </c>
      <c r="F78" s="334">
        <f t="shared" si="21"/>
        <v>0</v>
      </c>
      <c r="G78" s="334">
        <f t="shared" si="21"/>
        <v>0</v>
      </c>
      <c r="H78" s="334">
        <f t="shared" si="21"/>
        <v>0</v>
      </c>
      <c r="I78" s="334">
        <f t="shared" si="21"/>
        <v>0</v>
      </c>
      <c r="J78" s="334">
        <f t="shared" si="21"/>
        <v>0</v>
      </c>
      <c r="K78" s="334">
        <f t="shared" si="21"/>
        <v>0</v>
      </c>
      <c r="L78" s="334">
        <f t="shared" si="21"/>
        <v>0</v>
      </c>
      <c r="M78" s="334">
        <f t="shared" si="21"/>
        <v>0</v>
      </c>
      <c r="N78" s="334">
        <f t="shared" si="21"/>
        <v>0</v>
      </c>
      <c r="O78" s="334">
        <f t="shared" si="21"/>
        <v>0</v>
      </c>
      <c r="P78" s="339">
        <f>SUM(B78:O78)</f>
        <v>0</v>
      </c>
      <c r="Q78" s="335"/>
      <c r="R78" s="335"/>
      <c r="S78" s="335"/>
      <c r="T78" s="335"/>
      <c r="U78" s="335"/>
      <c r="V78"/>
      <c r="W78"/>
      <c r="X78"/>
      <c r="Y78"/>
      <c r="Z78"/>
      <c r="AA78"/>
      <c r="AB78"/>
      <c r="AC78"/>
    </row>
    <row r="79" spans="1:29">
      <c r="A79" s="462" t="s">
        <v>832</v>
      </c>
      <c r="B79" s="334">
        <f t="shared" ref="B79:N79" si="22">ROUND(B102*B130,0)</f>
        <v>8400000</v>
      </c>
      <c r="C79" s="334">
        <f t="shared" si="22"/>
        <v>6696000</v>
      </c>
      <c r="D79" s="334">
        <v>0</v>
      </c>
      <c r="E79" s="334">
        <f t="shared" si="22"/>
        <v>10153920</v>
      </c>
      <c r="F79" s="334">
        <f t="shared" si="22"/>
        <v>11815424</v>
      </c>
      <c r="G79" s="334">
        <f t="shared" si="22"/>
        <v>43756776</v>
      </c>
      <c r="H79" s="334">
        <f>ROUND(H102*H130,0)</f>
        <v>73363520</v>
      </c>
      <c r="I79" s="334">
        <f t="shared" si="22"/>
        <v>0</v>
      </c>
      <c r="J79" s="334">
        <f t="shared" si="22"/>
        <v>36564000</v>
      </c>
      <c r="K79" s="334">
        <f t="shared" si="22"/>
        <v>12000000</v>
      </c>
      <c r="L79" s="334">
        <f t="shared" si="22"/>
        <v>10615360</v>
      </c>
      <c r="M79" s="334">
        <f t="shared" si="22"/>
        <v>9692320</v>
      </c>
      <c r="N79" s="334">
        <f t="shared" si="22"/>
        <v>8307680</v>
      </c>
      <c r="O79" s="334">
        <f>ROUND(O102*O130,0)</f>
        <v>2966506</v>
      </c>
      <c r="P79" s="339">
        <f>SUM(B79:O79)</f>
        <v>234331506</v>
      </c>
      <c r="Q79" s="335"/>
      <c r="R79" s="335"/>
      <c r="S79" s="335"/>
      <c r="T79" s="335"/>
      <c r="U79" s="335"/>
      <c r="V79"/>
      <c r="W79"/>
      <c r="X79"/>
      <c r="Y79"/>
      <c r="Z79"/>
      <c r="AA79"/>
      <c r="AB79"/>
      <c r="AC79"/>
    </row>
    <row r="80" spans="1:29">
      <c r="A80" s="462" t="s">
        <v>833</v>
      </c>
      <c r="B80" s="334">
        <f>ROUND(ROUND(ROUND(ROUND((B161+B150+B151)*B15,0)*12*B17*AB35,0)/261,0)/10,0)+ROUND(ROUND(ROUND(ROUND((B162+B150+B151)*B16,0)*12*B18*AB35,0)/261,0)/10,0)+'UAT5-May'!B67</f>
        <v>1275402</v>
      </c>
      <c r="C80" s="334"/>
      <c r="D80" s="334"/>
      <c r="E80" s="334"/>
      <c r="F80" s="334"/>
      <c r="G80" s="334"/>
      <c r="H80" s="334">
        <f>ROUND(ROUND(ROUND(ROUND((H161+H150+H151)*H15,0)*12*H17*AB36,0)/261,0)/10,0)+ROUND(ROUND(ROUND(ROUND((H162+H150+H151)*H16,0)*12*H18*AB36,0)/261,0)/10,0)+'UAT5-May'!H67</f>
        <v>8842438</v>
      </c>
      <c r="I80" s="334"/>
      <c r="J80" s="444"/>
      <c r="K80" s="334"/>
      <c r="L80" s="334"/>
      <c r="M80" s="334"/>
      <c r="N80" s="334"/>
      <c r="O80" s="334"/>
      <c r="P80" s="339">
        <f>SUM(B80:O80)</f>
        <v>10117840</v>
      </c>
      <c r="Q80" s="373"/>
      <c r="R80" s="373"/>
      <c r="S80" s="373"/>
      <c r="T80" s="373"/>
      <c r="U80" s="373"/>
      <c r="V80"/>
      <c r="W80"/>
      <c r="X80"/>
      <c r="Y80"/>
      <c r="Z80"/>
      <c r="AA80"/>
      <c r="AB80"/>
      <c r="AC80"/>
    </row>
    <row r="81" spans="1:21">
      <c r="A81" s="462" t="s">
        <v>834</v>
      </c>
      <c r="B81" s="334"/>
      <c r="C81" s="334">
        <f>ROUND(C29*C73*50%,0)</f>
        <v>6975000</v>
      </c>
      <c r="D81" s="334"/>
      <c r="E81" s="334"/>
      <c r="F81" s="334"/>
      <c r="G81" s="334"/>
      <c r="H81" s="334">
        <f>ROUND(H29*H73*50%,0)</f>
        <v>142130625</v>
      </c>
      <c r="I81" s="334"/>
      <c r="J81" s="334"/>
      <c r="K81" s="334"/>
      <c r="L81" s="334"/>
      <c r="M81" s="334"/>
      <c r="N81" s="334">
        <f>ROUND(ROUND(N161*N15,0)*N73*50%,0)</f>
        <v>4875000</v>
      </c>
      <c r="O81" s="334"/>
      <c r="P81" s="339">
        <f>SUM(B81:O81)</f>
        <v>153980625</v>
      </c>
      <c r="Q81" s="335"/>
      <c r="R81" s="335"/>
      <c r="S81" s="335"/>
      <c r="T81" s="335"/>
      <c r="U81" s="335"/>
    </row>
    <row r="82" spans="1:21">
      <c r="A82" s="462"/>
      <c r="B82" s="468"/>
      <c r="C82" s="468"/>
      <c r="D82" s="468"/>
      <c r="E82" s="468"/>
      <c r="F82" s="468"/>
      <c r="G82" s="468"/>
      <c r="H82" s="468"/>
      <c r="I82" s="468"/>
      <c r="J82" s="559"/>
      <c r="K82" s="468"/>
      <c r="L82" s="468"/>
      <c r="M82" s="468"/>
      <c r="N82" s="468"/>
      <c r="O82" s="468"/>
      <c r="P82" s="339"/>
      <c r="Q82" s="335"/>
      <c r="R82" s="335"/>
      <c r="S82" s="335"/>
      <c r="T82" s="335"/>
      <c r="U82" s="335"/>
    </row>
    <row r="83" spans="1:21" ht="15.6">
      <c r="A83" s="404" t="s">
        <v>691</v>
      </c>
      <c r="B83" s="325"/>
      <c r="C83" s="326"/>
      <c r="D83" s="326"/>
      <c r="E83" s="334"/>
      <c r="F83" s="326"/>
      <c r="G83" s="326"/>
      <c r="H83" s="326"/>
      <c r="I83" s="326"/>
      <c r="J83" s="326"/>
      <c r="K83" s="334"/>
      <c r="L83" s="334"/>
      <c r="M83" s="334"/>
      <c r="N83" s="334"/>
      <c r="O83" s="395"/>
      <c r="P83" s="340"/>
      <c r="Q83" s="335"/>
      <c r="R83" s="335"/>
      <c r="S83" s="335"/>
      <c r="T83" s="335"/>
      <c r="U83" s="335"/>
    </row>
    <row r="84" spans="1:21">
      <c r="A84" s="483" t="s">
        <v>1350</v>
      </c>
      <c r="B84" s="484">
        <f>ROUND('UAT5-May'!B71*AD53,0)</f>
        <v>28846</v>
      </c>
      <c r="C84" s="484"/>
      <c r="D84" s="484"/>
      <c r="E84" s="484">
        <f>ROUND('UAT5-May'!E71*(AD43+AE43)*100%,0)</f>
        <v>207692</v>
      </c>
      <c r="F84" s="484"/>
      <c r="G84" s="484"/>
      <c r="H84" s="484"/>
      <c r="I84" s="484"/>
      <c r="J84" s="484"/>
      <c r="K84" s="484"/>
      <c r="L84" s="484"/>
      <c r="M84" s="484">
        <f>ROUND('UAT5-May'!M71*(SUM(AD44:AD50)+AE44)*100%,0)</f>
        <v>865380</v>
      </c>
      <c r="N84" s="484">
        <f>ROUND('UAT5-May'!N71*AD51*100%,0)+ROUND('UAT5-May'!N71*AE51*100%,0)</f>
        <v>150000</v>
      </c>
      <c r="O84" s="485"/>
      <c r="P84" s="486">
        <f t="shared" ref="P84:P96" si="23">SUM(B84:O84)</f>
        <v>1251918</v>
      </c>
      <c r="Q84" s="501" t="s">
        <v>591</v>
      </c>
      <c r="R84" s="501" t="s">
        <v>591</v>
      </c>
      <c r="S84" s="502"/>
      <c r="T84" s="503"/>
      <c r="U84" s="503"/>
    </row>
    <row r="85" spans="1:21">
      <c r="A85" s="487" t="s">
        <v>1353</v>
      </c>
      <c r="B85" s="484"/>
      <c r="C85" s="484"/>
      <c r="D85" s="484"/>
      <c r="E85" s="484">
        <f>ROUND('UAT5-May'!E71*(AD42+AE42)*100%,0)</f>
        <v>155769</v>
      </c>
      <c r="F85" s="484"/>
      <c r="G85" s="484"/>
      <c r="H85" s="484"/>
      <c r="I85" s="484"/>
      <c r="J85" s="484"/>
      <c r="K85" s="484"/>
      <c r="L85" s="484"/>
      <c r="M85" s="484"/>
      <c r="N85" s="484"/>
      <c r="O85" s="485"/>
      <c r="P85" s="486">
        <f t="shared" si="23"/>
        <v>155769</v>
      </c>
      <c r="Q85" s="501" t="s">
        <v>591</v>
      </c>
      <c r="R85" s="501" t="s">
        <v>591</v>
      </c>
      <c r="S85" s="502"/>
      <c r="T85" s="503"/>
      <c r="U85" s="503"/>
    </row>
    <row r="86" spans="1:21">
      <c r="A86" s="487" t="s">
        <v>1351</v>
      </c>
      <c r="B86" s="484">
        <f>ROUND('UAT5-May'!B71*AD53*50%,0)</f>
        <v>14423</v>
      </c>
      <c r="C86" s="484"/>
      <c r="D86" s="484"/>
      <c r="E86" s="484">
        <f>ROUND('UAT5-May'!E71*AD43*50%,0)</f>
        <v>64904</v>
      </c>
      <c r="F86" s="484"/>
      <c r="G86" s="484"/>
      <c r="H86" s="484"/>
      <c r="I86" s="484"/>
      <c r="J86" s="484"/>
      <c r="K86" s="484"/>
      <c r="L86" s="484"/>
      <c r="M86" s="484">
        <f>ROUND('UAT5-May'!M71*SUM(AD45:AD50)*50%,0)</f>
        <v>259614</v>
      </c>
      <c r="N86" s="484">
        <f>ROUND('UAT5-May'!N71*AD51*50%,0)</f>
        <v>56250</v>
      </c>
      <c r="O86" s="485"/>
      <c r="P86" s="486">
        <f t="shared" si="23"/>
        <v>395191</v>
      </c>
      <c r="Q86" s="501" t="s">
        <v>591</v>
      </c>
      <c r="R86" s="501"/>
      <c r="S86" s="502"/>
      <c r="T86" s="503"/>
      <c r="U86" s="503"/>
    </row>
    <row r="87" spans="1:21">
      <c r="A87" s="488" t="s">
        <v>1352</v>
      </c>
      <c r="B87" s="484"/>
      <c r="C87" s="484"/>
      <c r="D87" s="484"/>
      <c r="E87" s="484">
        <f>ROUND(ROUND('UAT5-May'!E71*AE43,0)*95%,0)</f>
        <v>73991</v>
      </c>
      <c r="F87" s="484"/>
      <c r="G87" s="484"/>
      <c r="H87" s="484"/>
      <c r="I87" s="484"/>
      <c r="J87" s="484"/>
      <c r="K87" s="484"/>
      <c r="L87" s="484"/>
      <c r="M87" s="484"/>
      <c r="N87" s="484">
        <f>ROUND('UAT5-May'!N71*AE51*95%,0)</f>
        <v>35625</v>
      </c>
      <c r="O87" s="485"/>
      <c r="P87" s="486">
        <f t="shared" si="23"/>
        <v>109616</v>
      </c>
      <c r="Q87" s="501" t="s">
        <v>591</v>
      </c>
      <c r="R87" s="501"/>
      <c r="S87" s="504"/>
      <c r="T87" s="504"/>
      <c r="U87" s="504"/>
    </row>
    <row r="88" spans="1:21">
      <c r="A88" s="509" t="s">
        <v>1355</v>
      </c>
      <c r="B88" s="484"/>
      <c r="C88" s="484"/>
      <c r="D88" s="484"/>
      <c r="E88" s="484"/>
      <c r="F88" s="484"/>
      <c r="G88" s="484"/>
      <c r="H88" s="484"/>
      <c r="I88" s="484"/>
      <c r="J88" s="484"/>
      <c r="K88" s="484"/>
      <c r="L88" s="484"/>
      <c r="M88" s="484">
        <f>ROUND('UAT5-May'!M71*AD44*100%,0)</f>
        <v>317306</v>
      </c>
      <c r="N88" s="484"/>
      <c r="O88" s="485"/>
      <c r="P88" s="486">
        <f t="shared" si="23"/>
        <v>317306</v>
      </c>
      <c r="Q88" s="501" t="s">
        <v>591</v>
      </c>
      <c r="R88" s="501"/>
      <c r="S88" s="504"/>
      <c r="T88" s="504"/>
      <c r="U88" s="504"/>
    </row>
    <row r="89" spans="1:21">
      <c r="A89" s="487" t="s">
        <v>1357</v>
      </c>
      <c r="B89" s="484"/>
      <c r="C89" s="484"/>
      <c r="D89" s="484"/>
      <c r="E89" s="484"/>
      <c r="F89" s="484"/>
      <c r="G89" s="484"/>
      <c r="H89" s="484"/>
      <c r="I89" s="484"/>
      <c r="J89" s="484"/>
      <c r="K89" s="484"/>
      <c r="L89" s="484"/>
      <c r="M89" s="484">
        <f>ROUND('UAT5-May'!M71*AE44*160%,0)</f>
        <v>46154</v>
      </c>
      <c r="N89" s="484"/>
      <c r="O89" s="485"/>
      <c r="P89" s="486">
        <f t="shared" si="23"/>
        <v>46154</v>
      </c>
      <c r="Q89" s="501" t="s">
        <v>591</v>
      </c>
      <c r="R89" s="501"/>
      <c r="S89" s="503"/>
      <c r="T89" s="503"/>
      <c r="U89" s="503"/>
    </row>
    <row r="90" spans="1:21">
      <c r="A90" s="487" t="s">
        <v>1358</v>
      </c>
      <c r="B90" s="484"/>
      <c r="C90" s="484"/>
      <c r="D90" s="484"/>
      <c r="E90" s="484">
        <f>ROUND('UAT5-May'!E71*AD42*200%,0)</f>
        <v>103846</v>
      </c>
      <c r="F90" s="484"/>
      <c r="G90" s="484"/>
      <c r="H90" s="484"/>
      <c r="I90" s="484"/>
      <c r="J90" s="484"/>
      <c r="K90" s="484"/>
      <c r="L90" s="484"/>
      <c r="M90" s="484"/>
      <c r="N90" s="484"/>
      <c r="O90" s="485"/>
      <c r="P90" s="486">
        <f t="shared" si="23"/>
        <v>103846</v>
      </c>
      <c r="Q90" s="501" t="s">
        <v>591</v>
      </c>
      <c r="R90" s="501"/>
      <c r="S90" s="502"/>
      <c r="T90" s="503"/>
      <c r="U90" s="503"/>
    </row>
    <row r="91" spans="1:21">
      <c r="A91" s="488" t="s">
        <v>1359</v>
      </c>
      <c r="B91" s="484"/>
      <c r="C91" s="484"/>
      <c r="D91" s="484"/>
      <c r="E91" s="484">
        <f>ROUND(ROUND('UAT5-May'!E71*290%,0)*AE42,0)</f>
        <v>301154</v>
      </c>
      <c r="F91" s="484"/>
      <c r="G91" s="484"/>
      <c r="H91" s="484"/>
      <c r="I91" s="484"/>
      <c r="J91" s="484"/>
      <c r="K91" s="484"/>
      <c r="L91" s="484"/>
      <c r="M91" s="484"/>
      <c r="N91" s="484"/>
      <c r="O91" s="485"/>
      <c r="P91" s="486">
        <f t="shared" si="23"/>
        <v>301154</v>
      </c>
      <c r="Q91" s="501" t="s">
        <v>591</v>
      </c>
      <c r="R91" s="501"/>
      <c r="S91" s="504"/>
      <c r="T91" s="504"/>
      <c r="U91" s="504"/>
    </row>
    <row r="92" spans="1:21">
      <c r="A92" s="488" t="s">
        <v>698</v>
      </c>
      <c r="B92" s="489"/>
      <c r="C92" s="489"/>
      <c r="D92" s="489"/>
      <c r="E92" s="489"/>
      <c r="F92" s="489"/>
      <c r="G92" s="489"/>
      <c r="H92" s="489"/>
      <c r="I92" s="489"/>
      <c r="J92" s="489">
        <f>(AD55+AD56)*100%</f>
        <v>8</v>
      </c>
      <c r="K92" s="489"/>
      <c r="L92" s="489"/>
      <c r="M92" s="489"/>
      <c r="N92" s="489"/>
      <c r="O92" s="490"/>
      <c r="P92" s="491">
        <f t="shared" si="23"/>
        <v>8</v>
      </c>
      <c r="Q92" s="501"/>
      <c r="R92" s="501"/>
      <c r="S92" s="504"/>
      <c r="T92" s="504"/>
      <c r="U92" s="504"/>
    </row>
    <row r="93" spans="1:21">
      <c r="A93" s="488" t="s">
        <v>699</v>
      </c>
      <c r="B93" s="489">
        <f>ROUND(AD54*150%,2)</f>
        <v>2.25</v>
      </c>
      <c r="C93" s="489"/>
      <c r="D93" s="489"/>
      <c r="E93" s="489"/>
      <c r="F93" s="489"/>
      <c r="G93" s="489"/>
      <c r="H93" s="489"/>
      <c r="I93" s="489"/>
      <c r="J93" s="489"/>
      <c r="K93" s="489"/>
      <c r="L93" s="489"/>
      <c r="M93" s="489"/>
      <c r="N93" s="489"/>
      <c r="O93" s="490"/>
      <c r="P93" s="491">
        <f t="shared" si="23"/>
        <v>2.25</v>
      </c>
      <c r="Q93" s="501"/>
      <c r="R93" s="501"/>
      <c r="S93" s="504"/>
      <c r="T93" s="504"/>
      <c r="U93" s="504"/>
    </row>
    <row r="94" spans="1:21">
      <c r="A94" s="488" t="s">
        <v>700</v>
      </c>
      <c r="B94" s="489">
        <f>ROUND(AE54*195%,2)</f>
        <v>2.93</v>
      </c>
      <c r="C94" s="489"/>
      <c r="D94" s="489"/>
      <c r="E94" s="489"/>
      <c r="F94" s="489"/>
      <c r="G94" s="489"/>
      <c r="H94" s="489"/>
      <c r="I94" s="489"/>
      <c r="J94" s="489"/>
      <c r="K94" s="489"/>
      <c r="L94" s="489"/>
      <c r="M94" s="489"/>
      <c r="N94" s="489"/>
      <c r="O94" s="490"/>
      <c r="P94" s="491">
        <f t="shared" si="23"/>
        <v>2.93</v>
      </c>
      <c r="Q94" s="501"/>
      <c r="R94" s="501"/>
      <c r="S94" s="504"/>
      <c r="T94" s="504"/>
      <c r="U94" s="504"/>
    </row>
    <row r="95" spans="1:21">
      <c r="A95" s="488" t="s">
        <v>701</v>
      </c>
      <c r="B95" s="489">
        <f>ROUND(AD52*200%,2)</f>
        <v>5</v>
      </c>
      <c r="C95" s="489"/>
      <c r="D95" s="489"/>
      <c r="E95" s="489"/>
      <c r="F95" s="489"/>
      <c r="G95" s="489"/>
      <c r="H95" s="489"/>
      <c r="I95" s="489"/>
      <c r="J95" s="489"/>
      <c r="K95" s="489"/>
      <c r="L95" s="489"/>
      <c r="M95" s="489"/>
      <c r="N95" s="489"/>
      <c r="O95" s="490"/>
      <c r="P95" s="491">
        <f t="shared" si="23"/>
        <v>5</v>
      </c>
      <c r="Q95" s="501"/>
      <c r="R95" s="501"/>
      <c r="S95" s="504"/>
      <c r="T95" s="504"/>
      <c r="U95" s="504"/>
    </row>
    <row r="96" spans="1:21">
      <c r="A96" s="488" t="s">
        <v>702</v>
      </c>
      <c r="B96" s="489">
        <f>ROUND(AE52*260%,2)</f>
        <v>5.2</v>
      </c>
      <c r="C96" s="489"/>
      <c r="D96" s="489"/>
      <c r="E96" s="489"/>
      <c r="F96" s="489"/>
      <c r="G96" s="489"/>
      <c r="H96" s="489"/>
      <c r="I96" s="489"/>
      <c r="J96" s="489"/>
      <c r="K96" s="489"/>
      <c r="L96" s="489"/>
      <c r="M96" s="489"/>
      <c r="N96" s="489"/>
      <c r="O96" s="490"/>
      <c r="P96" s="491">
        <f t="shared" si="23"/>
        <v>5.2</v>
      </c>
      <c r="Q96" s="501"/>
      <c r="R96" s="501"/>
      <c r="S96" s="504"/>
      <c r="T96" s="504"/>
      <c r="U96" s="504"/>
    </row>
    <row r="97" spans="1:21">
      <c r="A97" s="405"/>
      <c r="B97" s="325"/>
      <c r="C97" s="326"/>
      <c r="D97" s="326"/>
      <c r="E97" s="334"/>
      <c r="F97" s="326"/>
      <c r="G97" s="326"/>
      <c r="H97" s="326"/>
      <c r="I97" s="326"/>
      <c r="J97" s="326"/>
      <c r="K97" s="334"/>
      <c r="L97" s="334"/>
      <c r="M97" s="334"/>
      <c r="N97" s="334"/>
      <c r="O97" s="395"/>
      <c r="P97" s="340"/>
      <c r="Q97" s="335"/>
      <c r="R97" s="470"/>
      <c r="S97" s="335"/>
      <c r="T97" s="335"/>
      <c r="U97" s="335"/>
    </row>
    <row r="98" spans="1:21" ht="15.6">
      <c r="A98" s="404" t="s">
        <v>483</v>
      </c>
      <c r="B98" s="325"/>
      <c r="C98" s="326"/>
      <c r="D98" s="326"/>
      <c r="E98" s="334"/>
      <c r="F98" s="326"/>
      <c r="G98" s="326"/>
      <c r="H98" s="326"/>
      <c r="I98" s="326"/>
      <c r="J98" s="326"/>
      <c r="K98" s="334"/>
      <c r="L98" s="334"/>
      <c r="M98" s="334"/>
      <c r="N98" s="334"/>
      <c r="O98" s="395"/>
      <c r="P98" s="340"/>
      <c r="Q98" s="335"/>
      <c r="R98" s="470"/>
      <c r="S98" s="335"/>
      <c r="T98" s="335"/>
      <c r="U98" s="335"/>
    </row>
    <row r="99" spans="1:21">
      <c r="A99" s="436" t="s">
        <v>488</v>
      </c>
      <c r="B99" s="326"/>
      <c r="C99" s="326"/>
      <c r="D99" s="326">
        <f>ROUND(D159*12/52/40,0)</f>
        <v>40385</v>
      </c>
      <c r="E99" s="326">
        <f>ROUND(E159*12/52/40,0)</f>
        <v>51923</v>
      </c>
      <c r="F99" s="326"/>
      <c r="G99" s="326"/>
      <c r="H99" s="326"/>
      <c r="I99" s="326"/>
      <c r="J99" s="326"/>
      <c r="K99" s="326"/>
      <c r="L99" s="326"/>
      <c r="M99" s="326">
        <f>ROUND(M159*12/52/40,0)</f>
        <v>28846</v>
      </c>
      <c r="N99" s="326"/>
      <c r="O99" s="326">
        <f>ROUND(O159*12/52/40,0)</f>
        <v>34615</v>
      </c>
      <c r="P99" s="339">
        <f t="shared" ref="P99:P106" si="24">SUM(B99:O99)</f>
        <v>155769</v>
      </c>
      <c r="Q99" s="341"/>
      <c r="R99" s="470"/>
      <c r="S99" s="335"/>
      <c r="T99" s="335"/>
      <c r="U99" s="335"/>
    </row>
    <row r="100" spans="1:21">
      <c r="A100" s="477" t="s">
        <v>711</v>
      </c>
      <c r="B100" s="354">
        <f>ROUND(B160*12/52/40,0)</f>
        <v>40385</v>
      </c>
      <c r="C100" s="354">
        <f t="shared" ref="C100:O100" si="25">ROUND(C160*12/52/40,0)</f>
        <v>35769</v>
      </c>
      <c r="D100" s="354">
        <f t="shared" si="25"/>
        <v>40385</v>
      </c>
      <c r="E100" s="354">
        <f t="shared" si="25"/>
        <v>63462</v>
      </c>
      <c r="F100" s="354">
        <f t="shared" si="25"/>
        <v>92308</v>
      </c>
      <c r="G100" s="354">
        <f t="shared" si="25"/>
        <v>428400</v>
      </c>
      <c r="H100" s="354">
        <f t="shared" si="25"/>
        <v>696150</v>
      </c>
      <c r="I100" s="354">
        <f t="shared" si="25"/>
        <v>522113</v>
      </c>
      <c r="J100" s="354">
        <f t="shared" si="25"/>
        <v>317308</v>
      </c>
      <c r="K100" s="354">
        <f t="shared" si="25"/>
        <v>57692</v>
      </c>
      <c r="L100" s="354">
        <f t="shared" si="25"/>
        <v>66346</v>
      </c>
      <c r="M100" s="354">
        <f t="shared" si="25"/>
        <v>40385</v>
      </c>
      <c r="N100" s="354">
        <f t="shared" si="25"/>
        <v>37500</v>
      </c>
      <c r="O100" s="354">
        <f t="shared" si="25"/>
        <v>34615</v>
      </c>
      <c r="P100" s="686">
        <f t="shared" si="24"/>
        <v>2472818</v>
      </c>
      <c r="Q100" s="341"/>
      <c r="R100" s="470"/>
      <c r="S100" s="335"/>
      <c r="T100" s="335"/>
      <c r="U100" s="335"/>
    </row>
    <row r="101" spans="1:21">
      <c r="A101" s="436" t="s">
        <v>499</v>
      </c>
      <c r="B101" s="326"/>
      <c r="C101" s="326"/>
      <c r="D101" s="326">
        <f>ROUND(SUM(D159,D145,D147,D150)*12/52/40,0)</f>
        <v>52500</v>
      </c>
      <c r="E101" s="326">
        <f>ROUND(SUM(E159,E145,E147,E150)*12/52/40,0)</f>
        <v>51923</v>
      </c>
      <c r="F101" s="326"/>
      <c r="G101" s="326"/>
      <c r="H101" s="326"/>
      <c r="I101" s="326"/>
      <c r="J101" s="326"/>
      <c r="K101" s="326"/>
      <c r="L101" s="326"/>
      <c r="M101" s="326">
        <f>ROUND(SUM(M159,M145,M147,M150)*12/52/40,0)</f>
        <v>43269</v>
      </c>
      <c r="N101" s="326"/>
      <c r="O101" s="326">
        <f>ROUND(SUM(O159,O145,O147,O150)*12/52/40,0)</f>
        <v>34615</v>
      </c>
      <c r="P101" s="339">
        <f t="shared" si="24"/>
        <v>182307</v>
      </c>
      <c r="Q101" s="341"/>
      <c r="R101" s="335"/>
      <c r="S101" s="335"/>
      <c r="T101" s="335"/>
      <c r="U101" s="335"/>
    </row>
    <row r="102" spans="1:21">
      <c r="A102" s="477" t="s">
        <v>710</v>
      </c>
      <c r="B102" s="354">
        <f>ROUND(SUM(B160,B146,B148,B150)*12/52/40,0)</f>
        <v>52500</v>
      </c>
      <c r="C102" s="354">
        <f t="shared" ref="C102:O102" si="26">ROUND(SUM(C160,C146,C148,C150)*12/52/40,0)</f>
        <v>46500</v>
      </c>
      <c r="D102" s="354">
        <f t="shared" si="26"/>
        <v>52500</v>
      </c>
      <c r="E102" s="354">
        <f t="shared" si="26"/>
        <v>63462</v>
      </c>
      <c r="F102" s="354">
        <f t="shared" si="26"/>
        <v>92308</v>
      </c>
      <c r="G102" s="354">
        <f t="shared" si="26"/>
        <v>428400</v>
      </c>
      <c r="H102" s="354">
        <f t="shared" si="26"/>
        <v>917044</v>
      </c>
      <c r="I102" s="354">
        <f t="shared" si="26"/>
        <v>522113</v>
      </c>
      <c r="J102" s="354">
        <f t="shared" si="26"/>
        <v>412500</v>
      </c>
      <c r="K102" s="354">
        <f t="shared" si="26"/>
        <v>75000</v>
      </c>
      <c r="L102" s="354">
        <f t="shared" si="26"/>
        <v>66346</v>
      </c>
      <c r="M102" s="354">
        <f t="shared" si="26"/>
        <v>60577</v>
      </c>
      <c r="N102" s="354">
        <f t="shared" si="26"/>
        <v>51923</v>
      </c>
      <c r="O102" s="354">
        <f t="shared" si="26"/>
        <v>34615</v>
      </c>
      <c r="P102" s="686">
        <f t="shared" si="24"/>
        <v>2875788</v>
      </c>
      <c r="Q102" s="341"/>
      <c r="R102" s="335"/>
      <c r="S102" s="335"/>
      <c r="T102" s="335"/>
      <c r="U102" s="335"/>
    </row>
    <row r="103" spans="1:21">
      <c r="A103" s="436" t="s">
        <v>500</v>
      </c>
      <c r="B103" s="326"/>
      <c r="C103" s="326"/>
      <c r="D103" s="326">
        <f>ROUND(D159/D19,0)</f>
        <v>350000</v>
      </c>
      <c r="E103" s="326">
        <f>ROUND(E159/E19,0)</f>
        <v>450000</v>
      </c>
      <c r="F103" s="326"/>
      <c r="G103" s="326"/>
      <c r="H103" s="326"/>
      <c r="I103" s="326"/>
      <c r="J103" s="326"/>
      <c r="K103" s="326"/>
      <c r="L103" s="326"/>
      <c r="M103" s="326">
        <f>ROUND(M159/M19,0)</f>
        <v>250000</v>
      </c>
      <c r="N103" s="326"/>
      <c r="O103" s="326">
        <f>ROUND(O159/O19,0)</f>
        <v>300000</v>
      </c>
      <c r="P103" s="339">
        <f t="shared" si="24"/>
        <v>1350000</v>
      </c>
      <c r="Q103" s="341"/>
      <c r="R103" s="341"/>
      <c r="S103" s="341"/>
      <c r="T103" s="341"/>
      <c r="U103" s="341"/>
    </row>
    <row r="104" spans="1:21">
      <c r="A104" s="477" t="s">
        <v>709</v>
      </c>
      <c r="B104" s="354">
        <f t="shared" ref="B104:O104" si="27">ROUND(B160/B19,0)</f>
        <v>350000</v>
      </c>
      <c r="C104" s="354">
        <f t="shared" si="27"/>
        <v>310000</v>
      </c>
      <c r="D104" s="354">
        <f t="shared" si="27"/>
        <v>350000</v>
      </c>
      <c r="E104" s="354">
        <f t="shared" si="27"/>
        <v>550000</v>
      </c>
      <c r="F104" s="354">
        <f t="shared" si="27"/>
        <v>800000</v>
      </c>
      <c r="G104" s="354">
        <f t="shared" si="27"/>
        <v>3712800</v>
      </c>
      <c r="H104" s="354">
        <f t="shared" si="27"/>
        <v>6033300</v>
      </c>
      <c r="I104" s="354">
        <f t="shared" si="27"/>
        <v>4524975</v>
      </c>
      <c r="J104" s="354">
        <f t="shared" si="27"/>
        <v>2750000</v>
      </c>
      <c r="K104" s="354">
        <f t="shared" si="27"/>
        <v>500000</v>
      </c>
      <c r="L104" s="354">
        <f t="shared" si="27"/>
        <v>575000</v>
      </c>
      <c r="M104" s="354">
        <f t="shared" si="27"/>
        <v>350000</v>
      </c>
      <c r="N104" s="354">
        <f t="shared" si="27"/>
        <v>325000</v>
      </c>
      <c r="O104" s="354">
        <f t="shared" si="27"/>
        <v>300000</v>
      </c>
      <c r="P104" s="686">
        <f t="shared" si="24"/>
        <v>21431075</v>
      </c>
      <c r="Q104" s="341"/>
      <c r="R104" s="341"/>
      <c r="S104" s="341"/>
      <c r="T104" s="341"/>
      <c r="U104" s="341"/>
    </row>
    <row r="105" spans="1:21">
      <c r="A105" s="436" t="s">
        <v>621</v>
      </c>
      <c r="B105" s="326"/>
      <c r="C105" s="326"/>
      <c r="D105" s="326">
        <f>ROUND(SUM(D145,D147,D149,D151:D153)/D19,0)</f>
        <v>105000</v>
      </c>
      <c r="E105" s="326">
        <f>ROUND(SUM(E145,E147,E149,E151:E153)/E19,0)</f>
        <v>0</v>
      </c>
      <c r="F105" s="326"/>
      <c r="G105" s="326"/>
      <c r="H105" s="326"/>
      <c r="I105" s="326"/>
      <c r="J105" s="326"/>
      <c r="K105" s="326"/>
      <c r="L105" s="326"/>
      <c r="M105" s="326">
        <f>ROUND(SUM(M145,M147,M149,M151:M153)/M19,0)</f>
        <v>125000</v>
      </c>
      <c r="N105" s="326"/>
      <c r="O105" s="326">
        <f>ROUND(SUM(O145,O147,O149,O151:O153)/O19,0)</f>
        <v>0</v>
      </c>
      <c r="P105" s="339">
        <f t="shared" si="24"/>
        <v>230000</v>
      </c>
      <c r="Q105" s="341"/>
      <c r="R105" s="341"/>
      <c r="S105" s="341"/>
      <c r="T105" s="341"/>
      <c r="U105" s="341"/>
    </row>
    <row r="106" spans="1:21">
      <c r="A106" s="477" t="s">
        <v>712</v>
      </c>
      <c r="B106" s="354">
        <f t="shared" ref="B106:O106" si="28">ROUND(SUM(B146,B148,B149,B151:B153)/B19,0)</f>
        <v>105000</v>
      </c>
      <c r="C106" s="354">
        <f t="shared" si="28"/>
        <v>93000</v>
      </c>
      <c r="D106" s="354">
        <f t="shared" si="28"/>
        <v>105000</v>
      </c>
      <c r="E106" s="354">
        <f t="shared" si="28"/>
        <v>0</v>
      </c>
      <c r="F106" s="354">
        <f t="shared" si="28"/>
        <v>0</v>
      </c>
      <c r="G106" s="354">
        <f t="shared" si="28"/>
        <v>0</v>
      </c>
      <c r="H106" s="354">
        <f t="shared" si="28"/>
        <v>1914413</v>
      </c>
      <c r="I106" s="354">
        <f t="shared" si="28"/>
        <v>0</v>
      </c>
      <c r="J106" s="354">
        <f t="shared" si="28"/>
        <v>825000</v>
      </c>
      <c r="K106" s="354">
        <f t="shared" si="28"/>
        <v>150000</v>
      </c>
      <c r="L106" s="354">
        <f t="shared" si="28"/>
        <v>0</v>
      </c>
      <c r="M106" s="354">
        <f t="shared" si="28"/>
        <v>175000</v>
      </c>
      <c r="N106" s="354">
        <f t="shared" si="28"/>
        <v>125000</v>
      </c>
      <c r="O106" s="354">
        <f t="shared" si="28"/>
        <v>0</v>
      </c>
      <c r="P106" s="686">
        <f t="shared" si="24"/>
        <v>3492413</v>
      </c>
      <c r="Q106" s="341"/>
      <c r="R106" s="341"/>
      <c r="S106" s="341"/>
      <c r="T106" s="341"/>
      <c r="U106" s="341"/>
    </row>
    <row r="107" spans="1:21">
      <c r="A107" s="436" t="s">
        <v>501</v>
      </c>
      <c r="B107" s="670">
        <f t="shared" ref="B107:O107" si="29">ROUND(B17/B19*B15,8)</f>
        <v>0</v>
      </c>
      <c r="C107" s="670">
        <f t="shared" si="29"/>
        <v>0</v>
      </c>
      <c r="D107" s="670">
        <f t="shared" si="29"/>
        <v>0.25</v>
      </c>
      <c r="E107" s="670">
        <f t="shared" si="29"/>
        <v>0.5</v>
      </c>
      <c r="F107" s="670">
        <f t="shared" si="29"/>
        <v>0</v>
      </c>
      <c r="G107" s="670">
        <f t="shared" si="29"/>
        <v>0</v>
      </c>
      <c r="H107" s="670">
        <f t="shared" si="29"/>
        <v>0</v>
      </c>
      <c r="I107" s="670">
        <f t="shared" si="29"/>
        <v>0</v>
      </c>
      <c r="J107" s="670">
        <f t="shared" si="29"/>
        <v>0</v>
      </c>
      <c r="K107" s="670">
        <f t="shared" si="29"/>
        <v>0</v>
      </c>
      <c r="L107" s="670">
        <f t="shared" si="29"/>
        <v>0</v>
      </c>
      <c r="M107" s="670">
        <f t="shared" si="29"/>
        <v>0</v>
      </c>
      <c r="N107" s="670">
        <f t="shared" si="29"/>
        <v>0</v>
      </c>
      <c r="O107" s="670">
        <f t="shared" si="29"/>
        <v>0.5</v>
      </c>
      <c r="P107" s="653"/>
      <c r="Q107" s="341"/>
      <c r="R107" s="341"/>
      <c r="S107" s="341"/>
      <c r="T107" s="341"/>
      <c r="U107" s="341"/>
    </row>
    <row r="108" spans="1:21">
      <c r="A108" s="477" t="s">
        <v>704</v>
      </c>
      <c r="B108" s="685">
        <f t="shared" ref="B108:O108" si="30">ROUND(B18/B19*B16,8)</f>
        <v>1</v>
      </c>
      <c r="C108" s="685">
        <f t="shared" si="30"/>
        <v>0.9</v>
      </c>
      <c r="D108" s="685">
        <f t="shared" si="30"/>
        <v>0</v>
      </c>
      <c r="E108" s="685">
        <f t="shared" si="30"/>
        <v>0.5</v>
      </c>
      <c r="F108" s="685">
        <f t="shared" si="30"/>
        <v>0.8</v>
      </c>
      <c r="G108" s="685">
        <f t="shared" si="30"/>
        <v>1</v>
      </c>
      <c r="H108" s="685">
        <f t="shared" si="30"/>
        <v>0.5</v>
      </c>
      <c r="I108" s="685">
        <f t="shared" si="30"/>
        <v>0.75</v>
      </c>
      <c r="J108" s="685">
        <f t="shared" si="30"/>
        <v>0.6</v>
      </c>
      <c r="K108" s="685">
        <f t="shared" si="30"/>
        <v>1</v>
      </c>
      <c r="L108" s="685">
        <f t="shared" si="30"/>
        <v>1</v>
      </c>
      <c r="M108" s="685">
        <f t="shared" si="30"/>
        <v>1</v>
      </c>
      <c r="N108" s="685">
        <f t="shared" si="30"/>
        <v>1</v>
      </c>
      <c r="O108" s="685">
        <f t="shared" si="30"/>
        <v>0.375</v>
      </c>
      <c r="P108" s="687"/>
      <c r="Q108" s="341"/>
      <c r="R108" s="341"/>
      <c r="S108" s="341"/>
      <c r="T108" s="341"/>
      <c r="U108" s="341"/>
    </row>
    <row r="109" spans="1:21">
      <c r="A109" s="436" t="s">
        <v>502</v>
      </c>
      <c r="B109" s="670">
        <f t="shared" ref="B109:O109" si="31">ROUND((B17-B154)/261*B15,8)</f>
        <v>0</v>
      </c>
      <c r="C109" s="670">
        <f t="shared" si="31"/>
        <v>0</v>
      </c>
      <c r="D109" s="670">
        <f t="shared" si="31"/>
        <v>1.9157090000000002E-2</v>
      </c>
      <c r="E109" s="670">
        <f t="shared" si="31"/>
        <v>3.8314180000000003E-2</v>
      </c>
      <c r="F109" s="670">
        <f t="shared" si="31"/>
        <v>0</v>
      </c>
      <c r="G109" s="670">
        <f t="shared" si="31"/>
        <v>0</v>
      </c>
      <c r="H109" s="670">
        <f t="shared" si="31"/>
        <v>0</v>
      </c>
      <c r="I109" s="670">
        <f t="shared" si="31"/>
        <v>0</v>
      </c>
      <c r="J109" s="670">
        <f t="shared" si="31"/>
        <v>0</v>
      </c>
      <c r="K109" s="670">
        <f t="shared" si="31"/>
        <v>0</v>
      </c>
      <c r="L109" s="670">
        <f t="shared" si="31"/>
        <v>0</v>
      </c>
      <c r="M109" s="670">
        <f t="shared" si="31"/>
        <v>0</v>
      </c>
      <c r="N109" s="670">
        <f t="shared" si="31"/>
        <v>0</v>
      </c>
      <c r="O109" s="670">
        <f t="shared" si="31"/>
        <v>3.8314180000000003E-2</v>
      </c>
      <c r="P109" s="653"/>
      <c r="Q109" s="341"/>
      <c r="R109" s="341"/>
      <c r="S109" s="341"/>
      <c r="T109" s="341"/>
      <c r="U109" s="341"/>
    </row>
    <row r="110" spans="1:21">
      <c r="A110" s="477" t="s">
        <v>705</v>
      </c>
      <c r="B110" s="685">
        <f t="shared" ref="B110:O110" si="32">ROUND((B18-B154)/261*B16,8)</f>
        <v>7.6628349999999998E-2</v>
      </c>
      <c r="C110" s="685">
        <f t="shared" si="32"/>
        <v>6.8965520000000002E-2</v>
      </c>
      <c r="D110" s="685">
        <f t="shared" si="32"/>
        <v>0</v>
      </c>
      <c r="E110" s="685">
        <f t="shared" si="32"/>
        <v>3.8314180000000003E-2</v>
      </c>
      <c r="F110" s="685">
        <f t="shared" si="32"/>
        <v>6.1302679999999998E-2</v>
      </c>
      <c r="G110" s="685">
        <f t="shared" si="32"/>
        <v>7.6628349999999998E-2</v>
      </c>
      <c r="H110" s="685">
        <f t="shared" si="32"/>
        <v>3.8314180000000003E-2</v>
      </c>
      <c r="I110" s="685">
        <f t="shared" si="32"/>
        <v>5.7471260000000003E-2</v>
      </c>
      <c r="J110" s="685">
        <f t="shared" si="32"/>
        <v>4.5977009999999999E-2</v>
      </c>
      <c r="K110" s="685">
        <f t="shared" si="32"/>
        <v>7.6628349999999998E-2</v>
      </c>
      <c r="L110" s="685">
        <f t="shared" si="32"/>
        <v>7.6628349999999998E-2</v>
      </c>
      <c r="M110" s="685">
        <f t="shared" si="32"/>
        <v>7.6628349999999998E-2</v>
      </c>
      <c r="N110" s="685">
        <f t="shared" si="32"/>
        <v>7.6628349999999998E-2</v>
      </c>
      <c r="O110" s="685">
        <f t="shared" si="32"/>
        <v>2.8735630000000002E-2</v>
      </c>
      <c r="P110" s="687"/>
      <c r="Q110" s="341"/>
      <c r="R110" s="341"/>
      <c r="S110" s="341"/>
      <c r="T110" s="341"/>
      <c r="U110" s="341"/>
    </row>
    <row r="111" spans="1:21">
      <c r="A111" s="436" t="s">
        <v>503</v>
      </c>
      <c r="B111" s="670">
        <f t="shared" ref="B111:O111" si="33">ROUND(B156/B19*B15,8)</f>
        <v>0</v>
      </c>
      <c r="C111" s="670">
        <f t="shared" si="33"/>
        <v>0</v>
      </c>
      <c r="D111" s="670">
        <f t="shared" si="33"/>
        <v>0</v>
      </c>
      <c r="E111" s="670">
        <f t="shared" si="33"/>
        <v>0</v>
      </c>
      <c r="F111" s="670">
        <f t="shared" si="33"/>
        <v>0</v>
      </c>
      <c r="G111" s="670">
        <f t="shared" si="33"/>
        <v>0</v>
      </c>
      <c r="H111" s="670">
        <f t="shared" si="33"/>
        <v>0</v>
      </c>
      <c r="I111" s="670">
        <f t="shared" si="33"/>
        <v>0</v>
      </c>
      <c r="J111" s="670">
        <f t="shared" si="33"/>
        <v>0</v>
      </c>
      <c r="K111" s="670">
        <f t="shared" si="33"/>
        <v>0</v>
      </c>
      <c r="L111" s="670">
        <f t="shared" si="33"/>
        <v>0</v>
      </c>
      <c r="M111" s="670">
        <f t="shared" si="33"/>
        <v>0</v>
      </c>
      <c r="N111" s="670">
        <f t="shared" si="33"/>
        <v>0</v>
      </c>
      <c r="O111" s="670">
        <f t="shared" si="33"/>
        <v>0</v>
      </c>
      <c r="P111" s="653"/>
      <c r="Q111" s="342"/>
      <c r="R111" s="341"/>
      <c r="S111" s="341"/>
      <c r="T111" s="341"/>
      <c r="U111" s="341"/>
    </row>
    <row r="112" spans="1:21">
      <c r="A112" s="442" t="s">
        <v>492</v>
      </c>
      <c r="B112" s="326">
        <f>ROUND(AA23*B20/365,0)+ROUND(AA23*B21/365,0)</f>
        <v>657534</v>
      </c>
      <c r="C112" s="326">
        <f>ROUND(AA24*C20/365,0)+ROUND(AA24*C21/365,0)</f>
        <v>657534</v>
      </c>
      <c r="E112" s="326">
        <f>ROUND(AA25*E20/365,0)+ROUND(AA25*E21/365,0)</f>
        <v>657534</v>
      </c>
      <c r="F112" s="326">
        <f>ROUND(AA26*F20/365,0)+ROUND(AA26*F21/365,0)</f>
        <v>657534</v>
      </c>
      <c r="G112" s="326"/>
      <c r="H112" s="326">
        <f>ROUND(AA27*G20/365,0)+ROUND(AA27*G21/365,0)</f>
        <v>657534</v>
      </c>
      <c r="I112" s="326"/>
      <c r="J112" s="326"/>
      <c r="K112" s="334"/>
      <c r="L112" s="334"/>
      <c r="M112" s="334"/>
      <c r="N112" s="334"/>
      <c r="O112" s="395"/>
      <c r="P112" s="340">
        <f>SUM(B112:O112)</f>
        <v>3287670</v>
      </c>
      <c r="Q112" s="341"/>
      <c r="R112" s="341"/>
      <c r="S112" s="341"/>
      <c r="T112" s="341"/>
      <c r="U112" s="341"/>
    </row>
    <row r="113" spans="1:21">
      <c r="A113" s="436" t="s">
        <v>534</v>
      </c>
      <c r="B113" s="326"/>
      <c r="C113" s="326"/>
      <c r="E113" s="326"/>
      <c r="F113" s="326"/>
      <c r="G113" s="326"/>
      <c r="H113" s="326">
        <f>ROUND(AA28*G20/365,0)+ROUND(AA28*G21/365,0)</f>
        <v>575342</v>
      </c>
      <c r="I113" s="326"/>
      <c r="J113" s="326"/>
      <c r="K113" s="326"/>
      <c r="L113" s="326"/>
      <c r="M113" s="326"/>
      <c r="N113" s="326"/>
      <c r="O113" s="394"/>
      <c r="P113" s="340">
        <f>SUM(B113:O113)</f>
        <v>575342</v>
      </c>
      <c r="Q113" s="341"/>
      <c r="R113" s="341"/>
      <c r="S113" s="341"/>
      <c r="T113" s="341"/>
      <c r="U113" s="341"/>
    </row>
    <row r="114" spans="1:21">
      <c r="A114" s="405"/>
      <c r="B114" s="325"/>
      <c r="C114" s="326"/>
      <c r="D114" s="326"/>
      <c r="E114" s="334"/>
      <c r="F114" s="326"/>
      <c r="G114" s="326"/>
      <c r="H114" s="326"/>
      <c r="I114" s="326"/>
      <c r="J114" s="326"/>
      <c r="K114" s="334"/>
      <c r="L114" s="334"/>
      <c r="M114" s="334"/>
      <c r="N114" s="334"/>
      <c r="O114" s="395"/>
      <c r="P114" s="340"/>
      <c r="Q114" s="341"/>
      <c r="R114" s="342"/>
      <c r="S114" s="342"/>
      <c r="T114" s="342"/>
      <c r="U114" s="342"/>
    </row>
    <row r="115" spans="1:21">
      <c r="A115" s="405" t="s">
        <v>576</v>
      </c>
      <c r="B115" s="325">
        <f t="shared" ref="B115:O115" si="34">SUM(B29:B42)</f>
        <v>9143269</v>
      </c>
      <c r="C115" s="326">
        <f t="shared" si="34"/>
        <v>7254000</v>
      </c>
      <c r="D115" s="326">
        <f t="shared" si="34"/>
        <v>5749975</v>
      </c>
      <c r="E115" s="326">
        <f t="shared" si="34"/>
        <v>10907356</v>
      </c>
      <c r="F115" s="326">
        <f t="shared" si="34"/>
        <v>12800000</v>
      </c>
      <c r="G115" s="326">
        <f t="shared" si="34"/>
        <v>74256000</v>
      </c>
      <c r="H115" s="326">
        <f t="shared" si="34"/>
        <v>75996375</v>
      </c>
      <c r="I115" s="326">
        <f t="shared" si="34"/>
        <v>69106278</v>
      </c>
      <c r="J115" s="326">
        <f t="shared" si="34"/>
        <v>42900000</v>
      </c>
      <c r="K115" s="326">
        <f t="shared" si="34"/>
        <v>13000000</v>
      </c>
      <c r="L115" s="326">
        <f t="shared" si="34"/>
        <v>11500000</v>
      </c>
      <c r="M115" s="326">
        <f t="shared" si="34"/>
        <v>11988454</v>
      </c>
      <c r="N115" s="326">
        <f t="shared" si="34"/>
        <v>9241875</v>
      </c>
      <c r="O115" s="326">
        <f t="shared" si="34"/>
        <v>5250000</v>
      </c>
      <c r="P115" s="339">
        <f t="shared" ref="P115:P134" si="35">SUM(B115:O115)</f>
        <v>359093582</v>
      </c>
      <c r="Q115" s="341"/>
      <c r="R115" s="341"/>
      <c r="S115" s="341"/>
      <c r="T115" s="341"/>
      <c r="U115" s="341"/>
    </row>
    <row r="116" spans="1:21">
      <c r="A116" s="436" t="s">
        <v>484</v>
      </c>
      <c r="B116" s="326">
        <f>SUM(B29:B34,B41,B44)</f>
        <v>9323624</v>
      </c>
      <c r="C116" s="326">
        <f t="shared" ref="C116:O116" si="36">SUM(C29:C34,C41,C44)</f>
        <v>7604600</v>
      </c>
      <c r="D116" s="326">
        <f t="shared" si="36"/>
        <v>5749975</v>
      </c>
      <c r="E116" s="326">
        <f t="shared" si="36"/>
        <v>10655627</v>
      </c>
      <c r="F116" s="326">
        <f t="shared" si="36"/>
        <v>12800000</v>
      </c>
      <c r="G116" s="326">
        <f t="shared" si="36"/>
        <v>74256000</v>
      </c>
      <c r="H116" s="326">
        <f t="shared" si="36"/>
        <v>80700728</v>
      </c>
      <c r="I116" s="326">
        <f t="shared" si="36"/>
        <v>69106278</v>
      </c>
      <c r="J116" s="326">
        <f t="shared" si="36"/>
        <v>42900000</v>
      </c>
      <c r="K116" s="326">
        <f t="shared" si="36"/>
        <v>13000000</v>
      </c>
      <c r="L116" s="326">
        <f t="shared" si="36"/>
        <v>11500000</v>
      </c>
      <c r="M116" s="326">
        <f t="shared" si="36"/>
        <v>11365380</v>
      </c>
      <c r="N116" s="326">
        <f t="shared" si="36"/>
        <v>9150000</v>
      </c>
      <c r="O116" s="326">
        <f t="shared" si="36"/>
        <v>5250000</v>
      </c>
      <c r="P116" s="339">
        <f t="shared" si="35"/>
        <v>363362212</v>
      </c>
      <c r="Q116" s="341"/>
      <c r="R116" s="341"/>
      <c r="S116" s="341"/>
      <c r="T116" s="341"/>
      <c r="U116" s="341"/>
    </row>
    <row r="117" spans="1:21">
      <c r="A117" s="436" t="s">
        <v>578</v>
      </c>
      <c r="B117" s="326">
        <f t="shared" ref="B117:O117" si="37">MIN(IF(B18&lt;B17,IF(OR(B23="A",B23="B"),SUM(B161,B145,B147,B150)*B15,B163),IF(OR(B23="A",B23="B"),SUM(B162,B146,B148,B150)*B16,B164)),27800000)</f>
        <v>9100000</v>
      </c>
      <c r="C117" s="326">
        <f t="shared" si="37"/>
        <v>7254000</v>
      </c>
      <c r="D117" s="326">
        <f t="shared" si="37"/>
        <v>9100000</v>
      </c>
      <c r="E117" s="326">
        <f t="shared" si="37"/>
        <v>11000000</v>
      </c>
      <c r="F117" s="326">
        <f t="shared" si="37"/>
        <v>12800000</v>
      </c>
      <c r="G117" s="326">
        <f t="shared" si="37"/>
        <v>27800000</v>
      </c>
      <c r="H117" s="326">
        <f t="shared" si="37"/>
        <v>27800000</v>
      </c>
      <c r="I117" s="326">
        <f t="shared" si="37"/>
        <v>27800000</v>
      </c>
      <c r="J117" s="326">
        <f t="shared" si="37"/>
        <v>27800000</v>
      </c>
      <c r="K117" s="326">
        <f t="shared" si="37"/>
        <v>13000000</v>
      </c>
      <c r="L117" s="326">
        <f t="shared" si="37"/>
        <v>11500000</v>
      </c>
      <c r="M117" s="326">
        <f t="shared" si="37"/>
        <v>10500000</v>
      </c>
      <c r="N117" s="326">
        <f t="shared" si="37"/>
        <v>9000000</v>
      </c>
      <c r="O117" s="326">
        <f t="shared" si="37"/>
        <v>4500000</v>
      </c>
      <c r="P117" s="339">
        <f t="shared" si="35"/>
        <v>208954000</v>
      </c>
      <c r="Q117" s="341"/>
      <c r="R117" s="341"/>
      <c r="S117" s="341"/>
      <c r="T117" s="341"/>
      <c r="U117" s="341"/>
    </row>
    <row r="118" spans="1:21">
      <c r="A118" s="405" t="s">
        <v>1200</v>
      </c>
      <c r="B118" s="326">
        <f t="shared" ref="B118:O118" si="38">IF(B18&lt;B17,IF(OR(B23="A",B23="B"),SUM(B161,B145,B147,B150)*B15,B165),IF(OR(B23="A",B23="B"),SUM(B162,B146,B148,B150)*B16,B166))</f>
        <v>9100000</v>
      </c>
      <c r="C118" s="326">
        <f t="shared" si="38"/>
        <v>7254000</v>
      </c>
      <c r="D118" s="326">
        <f t="shared" si="38"/>
        <v>9100000</v>
      </c>
      <c r="E118" s="326">
        <f t="shared" si="38"/>
        <v>11000000</v>
      </c>
      <c r="F118" s="326">
        <f t="shared" si="38"/>
        <v>12800000</v>
      </c>
      <c r="G118" s="326">
        <f t="shared" si="38"/>
        <v>75200000</v>
      </c>
      <c r="H118" s="326">
        <f t="shared" si="38"/>
        <v>76962500</v>
      </c>
      <c r="I118" s="326">
        <f t="shared" si="38"/>
        <v>66975000</v>
      </c>
      <c r="J118" s="326">
        <f t="shared" si="38"/>
        <v>42900000</v>
      </c>
      <c r="K118" s="326">
        <f t="shared" si="38"/>
        <v>13000000</v>
      </c>
      <c r="L118" s="326">
        <f t="shared" si="38"/>
        <v>11500000</v>
      </c>
      <c r="M118" s="326">
        <f t="shared" si="38"/>
        <v>10500000</v>
      </c>
      <c r="N118" s="326">
        <f t="shared" si="38"/>
        <v>9000000</v>
      </c>
      <c r="O118" s="326">
        <f t="shared" si="38"/>
        <v>4500000</v>
      </c>
      <c r="P118" s="339">
        <f t="shared" si="35"/>
        <v>359791500</v>
      </c>
      <c r="Q118" s="341"/>
      <c r="R118" s="341"/>
      <c r="S118" s="341"/>
      <c r="T118" s="341"/>
      <c r="U118" s="341"/>
    </row>
    <row r="119" spans="1:21">
      <c r="A119" s="405" t="s">
        <v>580</v>
      </c>
      <c r="B119" s="326">
        <f t="shared" ref="B119:O119" si="39">ROUND(SUM(B161,B145,B147)/B19*B17*B15,0)+ROUND(SUM(B162,B146,B148)/B19*B18*B16,0)</f>
        <v>9100000</v>
      </c>
      <c r="C119" s="326">
        <f t="shared" si="39"/>
        <v>7254000</v>
      </c>
      <c r="D119" s="326">
        <f t="shared" si="39"/>
        <v>2275000</v>
      </c>
      <c r="E119" s="326">
        <f t="shared" si="39"/>
        <v>10000000</v>
      </c>
      <c r="F119" s="326">
        <f t="shared" si="39"/>
        <v>12800000</v>
      </c>
      <c r="G119" s="326">
        <f t="shared" si="39"/>
        <v>74256000</v>
      </c>
      <c r="H119" s="326">
        <f t="shared" si="39"/>
        <v>75996375</v>
      </c>
      <c r="I119" s="326">
        <f t="shared" si="39"/>
        <v>66134250</v>
      </c>
      <c r="J119" s="326">
        <f t="shared" si="39"/>
        <v>42900000</v>
      </c>
      <c r="K119" s="326">
        <f t="shared" si="39"/>
        <v>13000000</v>
      </c>
      <c r="L119" s="326">
        <f t="shared" si="39"/>
        <v>11500000</v>
      </c>
      <c r="M119" s="326">
        <f t="shared" si="39"/>
        <v>10500000</v>
      </c>
      <c r="N119" s="326">
        <f t="shared" si="39"/>
        <v>9000000</v>
      </c>
      <c r="O119" s="326">
        <f t="shared" si="39"/>
        <v>5250000</v>
      </c>
      <c r="P119" s="339">
        <f t="shared" si="35"/>
        <v>349965625</v>
      </c>
      <c r="Q119" s="341"/>
      <c r="R119" s="341"/>
      <c r="S119" s="341"/>
      <c r="T119" s="341"/>
      <c r="U119" s="341"/>
    </row>
    <row r="120" spans="1:21">
      <c r="A120" s="405" t="s">
        <v>481</v>
      </c>
      <c r="B120" s="326">
        <f>ROUND('UAT5-May'!B62/5,0)</f>
        <v>8020000</v>
      </c>
      <c r="C120" s="326">
        <f>ROUND('UAT5-May'!C62/5,0)</f>
        <v>6895800</v>
      </c>
      <c r="D120" s="326">
        <f>ROUND('UAT5-May'!D62/5,0)</f>
        <v>10319391</v>
      </c>
      <c r="E120" s="326">
        <f>ROUND('UAT5-May'!E62/5,0)</f>
        <v>9720000</v>
      </c>
      <c r="F120" s="326">
        <f>ROUND('UAT5-May'!F62/5,0)</f>
        <v>11776000</v>
      </c>
      <c r="G120" s="326">
        <f>ROUND('UAT5-May'!G62/5,0)</f>
        <v>14851200</v>
      </c>
      <c r="H120" s="326">
        <f>ROUND('UAT5-May'!H62/5,0)</f>
        <v>70079100</v>
      </c>
      <c r="I120" s="326">
        <f>ROUND('UAT5-May'!I62/5,0)</f>
        <v>64985602</v>
      </c>
      <c r="J120" s="326">
        <f>ROUND('UAT5-May'!J62/5,0)</f>
        <v>39000000</v>
      </c>
      <c r="K120" s="326">
        <f>ROUND('UAT5-May'!K62/5,0)</f>
        <v>10692000</v>
      </c>
      <c r="L120" s="326">
        <f>ROUND('UAT5-May'!L62/5,0)</f>
        <v>90000000</v>
      </c>
      <c r="M120" s="326">
        <f>ROUND('UAT5-May'!M62/5,0)</f>
        <v>7500000</v>
      </c>
      <c r="N120" s="326">
        <f>ROUND('UAT5-May'!N62/5,0)</f>
        <v>9000000</v>
      </c>
      <c r="O120" s="326">
        <f>ROUND('UAT5-May'!O62/5,0)</f>
        <v>1200000</v>
      </c>
      <c r="P120" s="339">
        <f t="shared" si="35"/>
        <v>354039093</v>
      </c>
      <c r="Q120" s="341"/>
      <c r="R120" s="341"/>
      <c r="S120" s="341"/>
      <c r="T120" s="341"/>
      <c r="U120" s="341"/>
    </row>
    <row r="121" spans="1:21">
      <c r="A121" s="436" t="s">
        <v>600</v>
      </c>
      <c r="B121" s="326">
        <f t="shared" ref="B121:O121" si="40">SUM(B50:B52)</f>
        <v>955500</v>
      </c>
      <c r="C121" s="326">
        <f t="shared" si="40"/>
        <v>761670</v>
      </c>
      <c r="D121" s="326">
        <f t="shared" si="40"/>
        <v>0</v>
      </c>
      <c r="E121" s="326">
        <f t="shared" si="40"/>
        <v>1155000</v>
      </c>
      <c r="F121" s="326">
        <f t="shared" si="40"/>
        <v>0</v>
      </c>
      <c r="G121" s="326">
        <f t="shared" si="40"/>
        <v>417000</v>
      </c>
      <c r="H121" s="326">
        <f t="shared" si="40"/>
        <v>417000</v>
      </c>
      <c r="I121" s="326">
        <f t="shared" si="40"/>
        <v>417000</v>
      </c>
      <c r="J121" s="326">
        <f t="shared" si="40"/>
        <v>3070000</v>
      </c>
      <c r="K121" s="326">
        <f t="shared" si="40"/>
        <v>0</v>
      </c>
      <c r="L121" s="326">
        <f t="shared" si="40"/>
        <v>1207500</v>
      </c>
      <c r="M121" s="326">
        <f t="shared" si="40"/>
        <v>0</v>
      </c>
      <c r="N121" s="326">
        <f t="shared" si="40"/>
        <v>0</v>
      </c>
      <c r="O121" s="394">
        <f t="shared" si="40"/>
        <v>0</v>
      </c>
      <c r="P121" s="340">
        <f t="shared" si="35"/>
        <v>8400670</v>
      </c>
      <c r="Q121" s="341"/>
      <c r="R121" s="341"/>
      <c r="S121" s="341"/>
      <c r="T121" s="341"/>
      <c r="U121" s="341"/>
    </row>
    <row r="122" spans="1:21">
      <c r="A122" s="436" t="s">
        <v>577</v>
      </c>
      <c r="B122" s="326">
        <f t="shared" ref="B122:O122" si="41">IF(OR(B23="A",B23="C"),B116-B121,B116)</f>
        <v>8368124</v>
      </c>
      <c r="C122" s="326">
        <f t="shared" si="41"/>
        <v>6842930</v>
      </c>
      <c r="D122" s="326">
        <f t="shared" si="41"/>
        <v>5749975</v>
      </c>
      <c r="E122" s="326">
        <f t="shared" si="41"/>
        <v>10655627</v>
      </c>
      <c r="F122" s="326">
        <f t="shared" si="41"/>
        <v>12800000</v>
      </c>
      <c r="G122" s="326">
        <f t="shared" si="41"/>
        <v>73839000</v>
      </c>
      <c r="H122" s="326">
        <f t="shared" si="41"/>
        <v>80700728</v>
      </c>
      <c r="I122" s="326">
        <f t="shared" si="41"/>
        <v>69106278</v>
      </c>
      <c r="J122" s="326">
        <f t="shared" si="41"/>
        <v>39830000</v>
      </c>
      <c r="K122" s="326">
        <f t="shared" si="41"/>
        <v>13000000</v>
      </c>
      <c r="L122" s="326">
        <f t="shared" si="41"/>
        <v>10292500</v>
      </c>
      <c r="M122" s="326">
        <f t="shared" si="41"/>
        <v>11365380</v>
      </c>
      <c r="N122" s="326">
        <f t="shared" si="41"/>
        <v>9150000</v>
      </c>
      <c r="O122" s="326">
        <f t="shared" si="41"/>
        <v>5250000</v>
      </c>
      <c r="P122" s="339">
        <f t="shared" si="35"/>
        <v>356950542</v>
      </c>
      <c r="Q122" s="341"/>
      <c r="R122" s="341"/>
      <c r="S122" s="341"/>
      <c r="T122" s="341"/>
      <c r="U122" s="341"/>
    </row>
    <row r="123" spans="1:21">
      <c r="A123" s="436" t="s">
        <v>849</v>
      </c>
      <c r="B123" s="326">
        <f t="shared" ref="B123:O123" si="42">MAX(B122-B26-B25,0)</f>
        <v>0</v>
      </c>
      <c r="C123" s="326">
        <f t="shared" si="42"/>
        <v>0</v>
      </c>
      <c r="D123" s="326">
        <f t="shared" si="42"/>
        <v>0</v>
      </c>
      <c r="E123" s="326">
        <f t="shared" si="42"/>
        <v>10655627</v>
      </c>
      <c r="F123" s="326">
        <f t="shared" si="42"/>
        <v>12800000</v>
      </c>
      <c r="G123" s="326">
        <f t="shared" si="42"/>
        <v>64839000</v>
      </c>
      <c r="H123" s="326">
        <f t="shared" si="42"/>
        <v>80700728</v>
      </c>
      <c r="I123" s="326">
        <f t="shared" si="42"/>
        <v>69106278</v>
      </c>
      <c r="J123" s="326">
        <f t="shared" si="42"/>
        <v>30830000</v>
      </c>
      <c r="K123" s="326">
        <f t="shared" si="42"/>
        <v>4000000</v>
      </c>
      <c r="L123" s="326">
        <f t="shared" si="42"/>
        <v>1292500</v>
      </c>
      <c r="M123" s="326">
        <f t="shared" si="42"/>
        <v>2365380</v>
      </c>
      <c r="N123" s="326">
        <f t="shared" si="42"/>
        <v>150000</v>
      </c>
      <c r="O123" s="326">
        <f t="shared" si="42"/>
        <v>5250000</v>
      </c>
      <c r="P123" s="339">
        <f t="shared" si="35"/>
        <v>281989513</v>
      </c>
      <c r="Q123" s="341"/>
      <c r="R123" s="341"/>
      <c r="S123" s="341"/>
      <c r="T123" s="341"/>
      <c r="U123" s="341"/>
    </row>
    <row r="124" spans="1:21">
      <c r="A124" s="436" t="s">
        <v>851</v>
      </c>
      <c r="B124" s="326">
        <f>IF(OR(B23="A",B23="C"),ROUND(MAX(B123*{5;10;15;20;25;30;35}%-{0;0.25;0.75;1.65;3.25;5.85;9.85}*1000000,0),0),IF(B23="B",IF(B123&lt;2000000,0,ROUND(B123*10%,0)),ROUND(B123*20%,0)))</f>
        <v>0</v>
      </c>
      <c r="C124" s="326">
        <f>IF(OR(C23="A",C23="C"),ROUND(MAX(C123*{5;10;15;20;25;30;35}%-{0;0.25;0.75;1.65;3.25;5.85;9.85}*1000000,0),0),IF(C23="B",IF(C123&lt;2000000,0,ROUND(C123*10%,0)),ROUND(C123*20%,0)))</f>
        <v>0</v>
      </c>
      <c r="D124" s="326">
        <f>IF(OR(D23="A",D23="C"),ROUND(MAX(D123*{5;10;15;20;25;30;35}%-{0;0.25;0.75;1.65;3.25;5.85;9.85}*1000000,0),0),IF(D23="B",IF(D123&lt;2000000,0,ROUND(D123*10%,0)),ROUND(D123*20%,0)))</f>
        <v>0</v>
      </c>
      <c r="E124" s="326">
        <f>IF(OR(E23="A",E23="C"),ROUND(MAX(E123*{5;10;15;20;25;30;35}%-{0;0.25;0.75;1.65;3.25;5.85;9.85}*1000000,0),0),IF(E23="B",IF(E123&lt;2000000,0,ROUND(E123*10%,0)),ROUND(E123*20%,0)))</f>
        <v>1065563</v>
      </c>
      <c r="F124" s="326">
        <f>IF(OR(F23="A",F23="C"),ROUND(MAX(F123*{5;10;15;20;25;30;35}%-{0;0.25;0.75;1.65;3.25;5.85;9.85}*1000000,0),0),IF(F23="B",IF(F123&lt;2000000,0,ROUND(F123*10%,0)),ROUND(F123*20%,0)))</f>
        <v>1280000</v>
      </c>
      <c r="G124" s="326">
        <f>IF(OR(G23="A",G23="C"),ROUND(MAX(G123*{5;10;15;20;25;30;35}%-{0;0.25;0.75;1.65;3.25;5.85;9.85}*1000000,0),0),IF(G23="B",IF(G123&lt;2000000,0,ROUND(G123*10%,0)),ROUND(G123*20%,0)))</f>
        <v>13601700</v>
      </c>
      <c r="H124" s="326">
        <f>IF(OR(H23="A",H23="C"),ROUND(MAX(H123*{5;10;15;20;25;30;35}%-{0;0.25;0.75;1.65;3.25;5.85;9.85}*1000000,0),0),IF(H23="B",IF(H123&lt;2000000,0,ROUND(H123*10%,0)),ROUND(H123*20%,0)))</f>
        <v>16140146</v>
      </c>
      <c r="I124" s="326">
        <f>IF(OR(I23="A",I23="C"),ROUND(MAX(I123*{5;10;15;20;25;30;35}%-{0;0.25;0.75;1.65;3.25;5.85;9.85}*1000000,0),0),IF(I23="B",IF(I123&lt;2000000,0,ROUND(I123*10%,0)),ROUND(I123*20%,0)))</f>
        <v>13821256</v>
      </c>
      <c r="J124" s="326">
        <f>IF(OR(J23="A",J23="C"),ROUND(MAX(J123*{5;10;15;20;25;30;35}%-{0;0.25;0.75;1.65;3.25;5.85;9.85}*1000000,0),0),IF(J23="B",IF(J123&lt;2000000,0,ROUND(J123*10%,0)),ROUND(J123*20%,0)))</f>
        <v>4516000</v>
      </c>
      <c r="K124" s="326">
        <f>IF(OR(K23="A",K23="C"),ROUND(MAX(K123*{5;10;15;20;25;30;35}%-{0;0.25;0.75;1.65;3.25;5.85;9.85}*1000000,0),0),IF(K23="B",IF(K123&lt;2000000,0,ROUND(K123*10%,0)),ROUND(K123*20%,0)))</f>
        <v>200000</v>
      </c>
      <c r="L124" s="326">
        <f>IF(OR(L23="A",L23="C"),ROUND(MAX(L123*{5;10;15;20;25;30;35}%-{0;0.25;0.75;1.65;3.25;5.85;9.85}*1000000,0),0),IF(L23="B",IF(L123&lt;2000000,0,ROUND(L123*10%,0)),ROUND(L123*20%,0)))</f>
        <v>64625</v>
      </c>
      <c r="M124" s="326">
        <f>IF(OR(M23="A",M23="C"),ROUND(MAX(M123*{5;10;15;20;25;30;35}%-{0;0.25;0.75;1.65;3.25;5.85;9.85}*1000000,0),0),IF(M23="B",IF(M123&lt;2000000,0,ROUND(M123*10%,0)),ROUND(M123*20%,0)))</f>
        <v>118269</v>
      </c>
      <c r="N124" s="326">
        <f>IF(OR(N23="A",N23="C"),ROUND(MAX(N123*{5;10;15;20;25;30;35}%-{0;0.25;0.75;1.65;3.25;5.85;9.85}*1000000,0),0),IF(N23="B",IF(N123&lt;2000000,0,ROUND(N123*10%,0)),ROUND(N123*20%,0)))</f>
        <v>7500</v>
      </c>
      <c r="O124" s="326">
        <f>IF(OR(O23="A",O23="C"),ROUND(MAX(O123*{5;10;15;20;25;30;35}%-{0;0.25;0.75;1.65;3.25;5.85;9.85}*1000000,0),0),IF(O23="B",IF(O123&lt;2000000,0,ROUND(O123*10%,0)),ROUND(O123*20%,0)))</f>
        <v>525000</v>
      </c>
      <c r="P124" s="339">
        <f t="shared" si="35"/>
        <v>51340059</v>
      </c>
      <c r="Q124" s="374"/>
      <c r="R124" s="341"/>
      <c r="S124" s="341"/>
      <c r="T124" s="341"/>
      <c r="U124" s="341"/>
    </row>
    <row r="125" spans="1:21">
      <c r="A125" s="436" t="s">
        <v>866</v>
      </c>
      <c r="B125" s="326">
        <f>B116+'UAT5-May'!B94</f>
        <v>69804005</v>
      </c>
      <c r="C125" s="326">
        <f>C116+'UAT5-May'!C94</f>
        <v>57994288</v>
      </c>
      <c r="D125" s="326">
        <f>D116+'UAT5-May'!D94</f>
        <v>72771713</v>
      </c>
      <c r="E125" s="326">
        <f>E116+'UAT5-May'!E94</f>
        <v>143126201</v>
      </c>
      <c r="F125" s="326">
        <f>F116+'UAT5-May'!F94</f>
        <v>73600000</v>
      </c>
      <c r="G125" s="326">
        <f>G116+'UAT5-May'!G94</f>
        <v>373297825</v>
      </c>
      <c r="H125" s="326">
        <f>H116+'UAT5-May'!H94</f>
        <v>526395887</v>
      </c>
      <c r="I125" s="326">
        <f>I116+'UAT5-May'!I94</f>
        <v>509639330</v>
      </c>
      <c r="J125" s="326">
        <f>J116+'UAT5-May'!J94</f>
        <v>209073914</v>
      </c>
      <c r="K125" s="326">
        <f>K116+'UAT5-May'!K94</f>
        <v>65000000</v>
      </c>
      <c r="L125" s="326">
        <f>L116+'UAT5-May'!L94</f>
        <v>461500000</v>
      </c>
      <c r="M125" s="326">
        <f>M116+'UAT5-May'!M94</f>
        <v>48865380</v>
      </c>
      <c r="N125" s="326">
        <f>N116+'UAT5-May'!N94</f>
        <v>54150000</v>
      </c>
      <c r="O125" s="326">
        <f>O116+'UAT5-May'!O94</f>
        <v>25250000</v>
      </c>
      <c r="P125" s="339">
        <f t="shared" si="35"/>
        <v>2690468543</v>
      </c>
      <c r="Q125" s="341"/>
      <c r="R125" s="341"/>
      <c r="S125" s="341"/>
      <c r="T125" s="341"/>
      <c r="U125" s="341"/>
    </row>
    <row r="126" spans="1:21">
      <c r="A126" s="436" t="s">
        <v>486</v>
      </c>
      <c r="B126" s="326">
        <f>B124+'UAT5-May'!B95</f>
        <v>325093</v>
      </c>
      <c r="C126" s="326">
        <f>C124+'UAT5-May'!C95</f>
        <v>0</v>
      </c>
      <c r="D126" s="326">
        <f>D124+'UAT5-May'!D95</f>
        <v>678837</v>
      </c>
      <c r="E126" s="326">
        <f>E124+'UAT5-May'!E95</f>
        <v>14312622</v>
      </c>
      <c r="F126" s="326">
        <f>F124+'UAT5-May'!F95</f>
        <v>7360000</v>
      </c>
      <c r="G126" s="326">
        <f>G124+'UAT5-May'!G95</f>
        <v>75596848</v>
      </c>
      <c r="H126" s="326">
        <f>H124+'UAT5-May'!H95</f>
        <v>105279178</v>
      </c>
      <c r="I126" s="326">
        <f>I124+'UAT5-May'!I95</f>
        <v>101927866</v>
      </c>
      <c r="J126" s="326">
        <f>J124+'UAT5-May'!J95</f>
        <v>20511389</v>
      </c>
      <c r="K126" s="326">
        <f>K124+'UAT5-May'!K95</f>
        <v>550000</v>
      </c>
      <c r="L126" s="326">
        <f>L124+'UAT5-May'!L95</f>
        <v>87099125</v>
      </c>
      <c r="M126" s="326">
        <f>M124+'UAT5-May'!M95</f>
        <v>118269</v>
      </c>
      <c r="N126" s="326">
        <f>N124+'UAT5-May'!N95</f>
        <v>7500</v>
      </c>
      <c r="O126" s="394">
        <f>O124+'UAT5-May'!O95</f>
        <v>2525000</v>
      </c>
      <c r="P126" s="340">
        <f t="shared" si="35"/>
        <v>416291727</v>
      </c>
      <c r="Q126" s="341"/>
      <c r="R126" s="341"/>
      <c r="S126" s="341"/>
      <c r="T126" s="341"/>
      <c r="U126" s="341"/>
    </row>
    <row r="127" spans="1:21">
      <c r="A127" s="436" t="s">
        <v>487</v>
      </c>
      <c r="B127" s="326">
        <f>B121+'UAT5-May'!B96</f>
        <v>5103000</v>
      </c>
      <c r="C127" s="326">
        <f>C121+'UAT5-May'!C96</f>
        <v>4187295</v>
      </c>
      <c r="D127" s="326">
        <f>D121+'UAT5-May'!D96</f>
        <v>1312500</v>
      </c>
      <c r="E127" s="326">
        <f>E121+'UAT5-May'!E96</f>
        <v>5880000</v>
      </c>
      <c r="F127" s="326">
        <f>F121+'UAT5-May'!F96</f>
        <v>0</v>
      </c>
      <c r="G127" s="326">
        <f>G121+'UAT5-May'!G96</f>
        <v>834000</v>
      </c>
      <c r="H127" s="326">
        <f>H121+'UAT5-May'!H96</f>
        <v>2502000</v>
      </c>
      <c r="I127" s="326">
        <f>I121+'UAT5-May'!I96</f>
        <v>2085000</v>
      </c>
      <c r="J127" s="326">
        <f>J121+'UAT5-May'!J96</f>
        <v>15194000</v>
      </c>
      <c r="K127" s="326">
        <f>K121+'UAT5-May'!K96</f>
        <v>0</v>
      </c>
      <c r="L127" s="326">
        <f>L121+'UAT5-May'!L96</f>
        <v>18592500</v>
      </c>
      <c r="M127" s="326">
        <f>M121+'UAT5-May'!M96</f>
        <v>0</v>
      </c>
      <c r="N127" s="326">
        <f>N121+'UAT5-May'!N96</f>
        <v>0</v>
      </c>
      <c r="O127" s="394">
        <f>O121+'UAT5-May'!O96</f>
        <v>0</v>
      </c>
      <c r="P127" s="340">
        <f t="shared" si="35"/>
        <v>55690295</v>
      </c>
      <c r="Q127" s="341"/>
      <c r="R127" s="341"/>
      <c r="S127" s="341"/>
      <c r="T127" s="341"/>
      <c r="U127" s="341"/>
    </row>
    <row r="128" spans="1:21">
      <c r="A128" s="405"/>
      <c r="B128" s="14"/>
      <c r="C128" s="7"/>
      <c r="D128" s="7"/>
      <c r="E128" s="316"/>
      <c r="F128" s="7"/>
      <c r="G128" s="7"/>
      <c r="H128" s="7"/>
      <c r="I128" s="7"/>
      <c r="J128" s="7"/>
      <c r="K128" s="316"/>
      <c r="L128" s="316"/>
      <c r="M128" s="316"/>
      <c r="N128" s="316"/>
      <c r="O128" s="375"/>
      <c r="P128" s="340"/>
      <c r="Q128" s="341"/>
      <c r="R128" s="374"/>
      <c r="S128" s="374"/>
      <c r="T128" s="374"/>
      <c r="U128" s="374"/>
    </row>
    <row r="129" spans="1:21" ht="15.6">
      <c r="A129" s="404" t="s">
        <v>775</v>
      </c>
      <c r="B129" s="14"/>
      <c r="C129" s="7"/>
      <c r="D129" s="7"/>
      <c r="E129" s="316"/>
      <c r="F129" s="7"/>
      <c r="G129" s="7"/>
      <c r="H129" s="7"/>
      <c r="I129" s="7"/>
      <c r="J129" s="7"/>
      <c r="K129" s="316"/>
      <c r="L129" s="316"/>
      <c r="M129" s="316"/>
      <c r="N129" s="316"/>
      <c r="O129" s="375"/>
      <c r="P129" s="340"/>
      <c r="Q129" s="341"/>
      <c r="R129" s="341"/>
      <c r="S129" s="341"/>
      <c r="T129" s="341"/>
      <c r="U129" s="341"/>
    </row>
    <row r="130" spans="1:21">
      <c r="A130" s="436" t="s">
        <v>431</v>
      </c>
      <c r="B130" s="531">
        <v>160</v>
      </c>
      <c r="C130" s="531">
        <v>144</v>
      </c>
      <c r="D130" s="690">
        <v>0</v>
      </c>
      <c r="E130" s="531">
        <v>160</v>
      </c>
      <c r="F130" s="531">
        <v>128</v>
      </c>
      <c r="G130" s="531">
        <f>'UAT5-May'!G99</f>
        <v>102.14</v>
      </c>
      <c r="H130" s="531">
        <f>'UAT5-May'!H99</f>
        <v>80</v>
      </c>
      <c r="I130" s="531">
        <v>0</v>
      </c>
      <c r="J130" s="531">
        <f>'UAT5-May'!J99</f>
        <v>88.64</v>
      </c>
      <c r="K130" s="531">
        <f>'UAT5-May'!K99</f>
        <v>160</v>
      </c>
      <c r="L130" s="531">
        <f>'UAT5-May'!L99</f>
        <v>160</v>
      </c>
      <c r="M130" s="531">
        <f>'UAT5-May'!M99</f>
        <v>160</v>
      </c>
      <c r="N130" s="531">
        <f>'UAT5-May'!N99</f>
        <v>160</v>
      </c>
      <c r="O130" s="531">
        <f>ROUND(160/365*(31+16),2)+ROUND(160*75%/365*(14+31+31+30+31+30+31),2)</f>
        <v>85.699999999999989</v>
      </c>
      <c r="P130" s="653">
        <f t="shared" si="35"/>
        <v>1588.48</v>
      </c>
      <c r="Q130" s="341"/>
      <c r="R130" s="341"/>
      <c r="S130" s="341"/>
      <c r="T130" s="341"/>
      <c r="U130" s="341"/>
    </row>
    <row r="131" spans="1:21">
      <c r="A131" s="436" t="s">
        <v>432</v>
      </c>
      <c r="B131" s="531">
        <v>80</v>
      </c>
      <c r="C131" s="531">
        <v>72</v>
      </c>
      <c r="D131" s="690">
        <f>IF(OR(D13="S",D13="C"),0,IF(OR(D13="1",D13="3"),ROUND(10*8*(_xlfn.DAYS(D12,'New Hire'!E7)+1)/365,2),ROUND(10*E26/365*(_xlfn.DAYS(D12,'New Hire'!E7)+1),2)))</f>
        <v>33.1</v>
      </c>
      <c r="E131" s="531">
        <v>80</v>
      </c>
      <c r="F131" s="531">
        <v>64</v>
      </c>
      <c r="G131" s="531">
        <f>'UAT5-May'!G100</f>
        <v>51.07</v>
      </c>
      <c r="H131" s="531">
        <f>'UAT5-May'!H100</f>
        <v>40</v>
      </c>
      <c r="I131" s="531">
        <v>0</v>
      </c>
      <c r="J131" s="531">
        <f>'UAT5-May'!J100</f>
        <v>44.32</v>
      </c>
      <c r="K131" s="531">
        <f>'UAT5-May'!K100</f>
        <v>80</v>
      </c>
      <c r="L131" s="531">
        <f>'UAT5-May'!L100</f>
        <v>80</v>
      </c>
      <c r="M131" s="531">
        <f>'UAT5-May'!M100</f>
        <v>80</v>
      </c>
      <c r="N131" s="531">
        <f>'UAT5-May'!N100</f>
        <v>80</v>
      </c>
      <c r="O131" s="531">
        <f>ROUND(80/365*(31+16),2)+ROUND(80*75%/365*(14+31+31+30+31+30+31),2)</f>
        <v>42.849999999999994</v>
      </c>
      <c r="P131" s="653">
        <f t="shared" si="35"/>
        <v>827.34</v>
      </c>
      <c r="Q131" s="341"/>
      <c r="R131" s="341"/>
      <c r="S131" s="341"/>
      <c r="T131" s="341"/>
      <c r="U131" s="341"/>
    </row>
    <row r="132" spans="1:21">
      <c r="A132" s="436" t="s">
        <v>433</v>
      </c>
      <c r="B132" s="531">
        <v>0</v>
      </c>
      <c r="C132" s="531">
        <v>0</v>
      </c>
      <c r="D132" s="531">
        <v>0</v>
      </c>
      <c r="E132" s="531">
        <v>0</v>
      </c>
      <c r="F132" s="531">
        <v>0</v>
      </c>
      <c r="G132" s="531">
        <v>0</v>
      </c>
      <c r="H132" s="531">
        <v>0</v>
      </c>
      <c r="I132" s="531">
        <v>0</v>
      </c>
      <c r="J132" s="531">
        <v>0</v>
      </c>
      <c r="K132" s="531">
        <v>0</v>
      </c>
      <c r="L132" s="531">
        <v>0</v>
      </c>
      <c r="M132" s="531">
        <v>0</v>
      </c>
      <c r="N132" s="531">
        <v>0</v>
      </c>
      <c r="O132" s="531">
        <v>0</v>
      </c>
      <c r="P132" s="653">
        <f t="shared" si="35"/>
        <v>0</v>
      </c>
      <c r="Q132" s="341"/>
      <c r="R132" s="341"/>
      <c r="S132" s="341"/>
      <c r="T132" s="341"/>
      <c r="U132" s="341"/>
    </row>
    <row r="133" spans="1:21">
      <c r="A133" s="436" t="s">
        <v>434</v>
      </c>
      <c r="B133" s="531">
        <v>0</v>
      </c>
      <c r="C133" s="531">
        <v>0</v>
      </c>
      <c r="D133" s="531">
        <v>0</v>
      </c>
      <c r="E133" s="531">
        <v>0</v>
      </c>
      <c r="F133" s="531">
        <v>0</v>
      </c>
      <c r="G133" s="531">
        <v>0</v>
      </c>
      <c r="H133" s="531">
        <v>0</v>
      </c>
      <c r="I133" s="531">
        <v>0</v>
      </c>
      <c r="J133" s="531">
        <v>0</v>
      </c>
      <c r="K133" s="531">
        <v>0</v>
      </c>
      <c r="L133" s="531">
        <v>0</v>
      </c>
      <c r="M133" s="531">
        <v>0</v>
      </c>
      <c r="N133" s="531">
        <v>0</v>
      </c>
      <c r="O133" s="531">
        <v>0</v>
      </c>
      <c r="P133" s="653">
        <f t="shared" si="35"/>
        <v>0</v>
      </c>
      <c r="Q133" s="341"/>
      <c r="R133" s="341"/>
      <c r="S133" s="341"/>
      <c r="T133" s="341"/>
      <c r="U133" s="341"/>
    </row>
    <row r="134" spans="1:21">
      <c r="A134" s="436" t="s">
        <v>1395</v>
      </c>
      <c r="B134" s="531">
        <f>SUM(B92:B96)</f>
        <v>15.379999999999999</v>
      </c>
      <c r="C134" s="531">
        <f t="shared" ref="C134:O134" si="43">SUM(C92:C96)</f>
        <v>0</v>
      </c>
      <c r="D134" s="531">
        <f t="shared" si="43"/>
        <v>0</v>
      </c>
      <c r="E134" s="531">
        <f t="shared" si="43"/>
        <v>0</v>
      </c>
      <c r="F134" s="531">
        <f t="shared" si="43"/>
        <v>0</v>
      </c>
      <c r="G134" s="531">
        <f t="shared" si="43"/>
        <v>0</v>
      </c>
      <c r="H134" s="531">
        <f t="shared" si="43"/>
        <v>0</v>
      </c>
      <c r="I134" s="531">
        <f t="shared" si="43"/>
        <v>0</v>
      </c>
      <c r="J134" s="531">
        <f t="shared" si="43"/>
        <v>8</v>
      </c>
      <c r="K134" s="531">
        <f t="shared" si="43"/>
        <v>0</v>
      </c>
      <c r="L134" s="531">
        <f t="shared" si="43"/>
        <v>0</v>
      </c>
      <c r="M134" s="531">
        <f t="shared" si="43"/>
        <v>0</v>
      </c>
      <c r="N134" s="531">
        <f t="shared" si="43"/>
        <v>0</v>
      </c>
      <c r="O134" s="531">
        <f t="shared" si="43"/>
        <v>0</v>
      </c>
      <c r="P134" s="653">
        <f t="shared" si="35"/>
        <v>23.38</v>
      </c>
      <c r="Q134" s="341"/>
      <c r="R134" s="341"/>
      <c r="S134" s="341"/>
      <c r="T134" s="341"/>
      <c r="U134" s="341"/>
    </row>
    <row r="135" spans="1:21">
      <c r="A135" s="436"/>
      <c r="F135" s="5"/>
      <c r="G135" s="5"/>
      <c r="H135" s="5"/>
      <c r="I135" s="5"/>
      <c r="P135" s="341"/>
      <c r="Q135" s="341"/>
      <c r="R135" s="341"/>
      <c r="S135" s="341"/>
      <c r="T135" s="341"/>
      <c r="U135" s="341"/>
    </row>
    <row r="136" spans="1:21" ht="15.6">
      <c r="A136" s="404" t="s">
        <v>436</v>
      </c>
      <c r="Q136" s="341"/>
      <c r="R136" s="341"/>
      <c r="S136" s="341"/>
      <c r="T136" s="341"/>
      <c r="U136" s="341"/>
    </row>
    <row r="137" spans="1:21">
      <c r="A137" s="6" t="s">
        <v>809</v>
      </c>
      <c r="B137" s="528">
        <f>IF(OR(B13="S",B13="C"),0,IF(OR(B13="1",B13="3"),ROUND(20*8*(B20+B21)/365,5),ROUND(20*'New Hire'!C24*(B20+B21)/365,5)))+'UAT5-May'!B106</f>
        <v>79.342449999999999</v>
      </c>
      <c r="C137" s="528">
        <f>IF(OR(C13="S",C13="C"),0,IF(OR(C13="1",C13="3"),ROUND(20*8*(C20+C21)/365,5),ROUND(20*'New Hire'!D24*(C20+C21)/365,5)))+'UAT5-May'!C106</f>
        <v>71.408240000000006</v>
      </c>
      <c r="D137" s="528">
        <f>IF(OR(D13="S",D13="C"),0,IF(OR(D13="1",D13="3"),ROUND(20*8*(D20+D21)/365,5),ROUND(20*'New Hire'!E24*(D20+D21)/365,5)))+'UAT5-May'!D106</f>
        <v>66.191770000000005</v>
      </c>
      <c r="E137" s="528">
        <f>IF(OR(E13="S",E13="C"),0,IF(OR(E13="1",E13="3"),ROUND(20*8*(E20+E21)/365,5),ROUND(20*'New Hire'!F24*(E20+E21)/365,5)))+'UAT5-May'!E106</f>
        <v>79.342449999999999</v>
      </c>
      <c r="F137" s="528">
        <f>IF(OR(F13="S",F13="C"),0,IF(OR(F13="1",F13="3"),ROUND(20*8*(F20+F21)/365,5),ROUND(20*'New Hire'!G24*(F20+F21)/365,5)))+'UAT5-May'!F106</f>
        <v>63.473969999999994</v>
      </c>
      <c r="G137" s="528">
        <f>IF(OR(G13="S",G13="C"),0,IF(OR(G13="1",G13="3"),ROUND(20*8*(G20+G21)/365,5),ROUND(20*'New Hire'!H24*(G20+G21)/365,5)))+'UAT5-May'!G106</f>
        <v>19.726019999999998</v>
      </c>
      <c r="H137" s="528">
        <f>IF(OR(H13="S",H13="C"),0,IF(OR(H13="1",H13="3"),ROUND(20*8*(H20+H21)/365,5),ROUND(20*'New Hire'!I24*(H20+H21)/365,5)))+'UAT5-May'!H106</f>
        <v>39.671230000000001</v>
      </c>
      <c r="I137" s="528">
        <f>IF(OR(I13="S",I13="C"),0,IF(OR(I13="1",I13="3"),ROUND(20*8*(I20+I21)/365,5),ROUND(20*'New Hire'!J24*(I20+I21)/365,5)))+'UAT5-May'!I106</f>
        <v>0</v>
      </c>
      <c r="J137" s="528">
        <f>IF(OR(J13="S",J13="C"),0,IF(OR(J13="1",J13="3"),ROUND(20*8*(J20+J21)/365,5),ROUND(20*'New Hire'!K24*(J20+J21)/365,5)))+'UAT5-May'!J106</f>
        <v>40.241080000000004</v>
      </c>
      <c r="K137" s="528">
        <f>IF(OR(K13="S",K13="C"),0,IF(OR(K13="1",K13="3"),ROUND(20*8*(K20+K21)/365,5),ROUND(20*'New Hire'!L24*(K20+K21)/365,5)))+'UAT5-May'!K106</f>
        <v>79.342449999999999</v>
      </c>
      <c r="L137" s="528">
        <f>IF(OR(L13="S",L13="C"),0,IF(OR(L13="1",L13="3"),ROUND(20*8*(L20+L21)/365,5),ROUND(20*'New Hire'!M24*(L20+L21)/365,5)))+'UAT5-May'!L106</f>
        <v>79.342449999999999</v>
      </c>
      <c r="M137" s="528">
        <f>IF(OR(M13="S",M13="C"),0,IF(OR(M13="1",M13="3"),ROUND(20*8*(M20+M21)/365,5),ROUND(20*'New Hire'!N24*(M20+M21)/365,5)))+'UAT5-May'!M106</f>
        <v>79.342449999999999</v>
      </c>
      <c r="N137" s="528">
        <f>IF(OR(N13="S",N13="C"),0,IF(OR(N13="1",N13="3"),ROUND(20*8*(N20+N21)/365,5),ROUND(20*'New Hire'!O24*(N20+N21)/365,5)))+'UAT5-May'!N106</f>
        <v>79.342449999999999</v>
      </c>
      <c r="O137" s="528">
        <f>IF(OR(O13="S",O13="C"),0,IF(OR(O13="1",O13="3"),ROUND(20*8*(O20+O21)/365,5),ROUND(20*'New Hire'!P24*(O20+O21)/365,5)))+'UAT5-May'!O106</f>
        <v>26.739719999999998</v>
      </c>
      <c r="R137" s="341"/>
      <c r="S137" s="341"/>
      <c r="T137" s="341"/>
      <c r="U137" s="341"/>
    </row>
    <row r="138" spans="1:21">
      <c r="A138" s="6" t="s">
        <v>810</v>
      </c>
      <c r="B138" s="529">
        <f>IF(OR(B13="S",B13="C"),0,IF(OR(B13="1",B13="3"),ROUND(10*8*(B20+B21)/365,5),ROUND(10*'New Hire'!C24*(B20+B21)/365,5)))+'UAT5-May'!B107</f>
        <v>39.671230000000001</v>
      </c>
      <c r="C138" s="529">
        <f>IF(OR(C13="S",C13="C"),0,IF(OR(C13="1",C13="3"),ROUND(10*8*(C20+C21)/365,5),ROUND(10*'New Hire'!D24*(C20+C21)/365,5)))+'UAT5-May'!C107</f>
        <v>35.704120000000003</v>
      </c>
      <c r="D138" s="529">
        <f>IF(OR(D13="S",D13="C"),0,IF(OR(D13="1",D13="3"),ROUND(10*8*(D20+D21)/365,5),ROUND(10*'New Hire'!E24*(D20+D21)/365,5)))+'UAT5-May'!D107</f>
        <v>33.095890000000004</v>
      </c>
      <c r="E138" s="529">
        <f>IF(OR(E13="S",E13="C"),0,IF(OR(E13="1",E13="3"),ROUND(10*8*(E20+E21)/365,5),ROUND(10*'New Hire'!F24*(E20+E21)/365,5)))+'UAT5-May'!E107</f>
        <v>39.671230000000001</v>
      </c>
      <c r="F138" s="529">
        <f>IF(OR(F13="S",F13="C"),0,IF(OR(F13="1",F13="3"),ROUND(10*8*(F20+F21)/365,5),ROUND(10*'New Hire'!G24*(F20+F21)/365,5)))+'UAT5-May'!F107</f>
        <v>31.736989999999999</v>
      </c>
      <c r="G138" s="529">
        <f>IF(OR(G13="S",G13="C"),0,IF(OR(G13="1",G13="3"),ROUND(10*8*(G20+G21)/365,5),ROUND(10*'New Hire'!H24*(G20+G21)/365,5)))+'UAT5-May'!G107</f>
        <v>9.8630099999999992</v>
      </c>
      <c r="H138" s="529">
        <f>IF(OR(H13="S",H13="C"),0,IF(OR(H13="1",H13="3"),ROUND(10*8*(H20+H21)/365,5),ROUND(10*'New Hire'!I24*(H20+H21)/365,5)))+'UAT5-May'!H107</f>
        <v>19.835609999999999</v>
      </c>
      <c r="I138" s="529">
        <f>IF(OR(I13="S",I13="C"),0,IF(OR(I13="1",I13="3"),ROUND(10*8*(I20+I21)/365,5),ROUND(10*'New Hire'!J24*(I20+I21)/365,5)))+'UAT5-May'!I107</f>
        <v>0</v>
      </c>
      <c r="J138" s="529">
        <f>IF(OR(J13="S",J13="C"),0,IF(OR(J13="1",J13="3"),ROUND(10*8*(J20+J21)/365,5),ROUND(10*'New Hire'!K24*(J20+J21)/365,5)))+'UAT5-May'!J107</f>
        <v>20.120549999999998</v>
      </c>
      <c r="K138" s="529">
        <f>IF(OR(K13="S",K13="C"),0,IF(OR(K13="1",K13="3"),ROUND(10*8*(K20+K21)/365,5),ROUND(10*'New Hire'!L24*(K20+K21)/365,5)))+'UAT5-May'!K107</f>
        <v>39.671230000000001</v>
      </c>
      <c r="L138" s="529">
        <f>IF(OR(L13="S",L13="C"),0,IF(OR(L13="1",L13="3"),ROUND(10*8*(L20+L21)/365,5),ROUND(10*'New Hire'!M24*(L20+L21)/365,5)))+'UAT5-May'!L107</f>
        <v>39.671230000000001</v>
      </c>
      <c r="M138" s="529">
        <f>IF(OR(M13="S",M13="C"),0,IF(OR(M13="1",M13="3"),ROUND(10*8*(M20+M21)/365,5),ROUND(10*'New Hire'!N24*(M20+M21)/365,5)))+'UAT5-May'!M107</f>
        <v>39.671230000000001</v>
      </c>
      <c r="N138" s="529">
        <f>IF(OR(N13="S",N13="C"),0,IF(OR(N13="1",N13="3"),ROUND(10*8*(N20+N21)/365,5),ROUND(10*'New Hire'!O24*(N20+N21)/365,5)))+'UAT5-May'!N107</f>
        <v>39.671230000000001</v>
      </c>
      <c r="O138" s="529">
        <f>IF(OR(O13="S",O13="C"),0,IF(OR(O13="1",O13="3"),ROUND(10*8*(O20+O21)/365,5),ROUND(10*'New Hire'!P24*(O20+O21)/365,5)))+'UAT5-May'!O107</f>
        <v>13.369859999999999</v>
      </c>
      <c r="R138" s="341"/>
      <c r="S138" s="341"/>
      <c r="T138" s="341"/>
      <c r="U138" s="341"/>
    </row>
    <row r="139" spans="1:21">
      <c r="A139" s="436" t="s">
        <v>779</v>
      </c>
      <c r="B139" s="528">
        <f>IF('New Hire'!C78=1,ROUND(25/10*B15%/365,5)*(B20+B21),0)+'UAT5-May'!B108</f>
        <v>0</v>
      </c>
      <c r="C139" s="528">
        <f>IF('New Hire'!D78=1,ROUND(25/10*C15%/365,5)*(C20+C21),0)+'UAT5-May'!C108</f>
        <v>0.37075999999999998</v>
      </c>
      <c r="D139" s="528">
        <f>IF('New Hire'!E78=1,ROUND(25/10*D15%/365,5)*(D20+D21),0)+'UAT5-May'!D108</f>
        <v>0</v>
      </c>
      <c r="E139" s="528">
        <f>IF('New Hire'!F78=1,ROUND(25/10*E15%/365,5)*(E20+E21),0)+'UAT5-May'!E108</f>
        <v>0</v>
      </c>
      <c r="F139" s="528">
        <f>IF('New Hire'!G78=1,ROUND(25/10*F15%/365,5)*(F20+F21),0)+'UAT5-May'!F108</f>
        <v>0.32941999999999994</v>
      </c>
      <c r="G139" s="528">
        <f>IF('New Hire'!H78=1,ROUND(25/10*G15%/365,5)*(G20+G21),0)+'UAT5-May'!G108</f>
        <v>0</v>
      </c>
      <c r="H139" s="528">
        <f>IF('New Hire'!I78=1,ROUND(25/10*H15%/365,5)*(H20+H21),0)+'UAT5-May'!H108</f>
        <v>0</v>
      </c>
      <c r="I139" s="528">
        <f>IF('New Hire'!J78=1,ROUND(25/10*I15%/365,5)*(I20+I21),0)+'UAT5-May'!I108</f>
        <v>0</v>
      </c>
      <c r="J139" s="528">
        <f>IF('New Hire'!K78=1,ROUND(25/10*J15%/365,5)*(J20+J21),0)+'UAT5-May'!J108</f>
        <v>0</v>
      </c>
      <c r="K139" s="528">
        <f>IF('New Hire'!L78=1,ROUND(25/10*K15%/365,5)*(K20+K21),0)+'UAT5-May'!K108</f>
        <v>0</v>
      </c>
      <c r="L139" s="528">
        <f>IF('New Hire'!M78=1,ROUND(25/10*L15%/365,5)*(L20+L21),0)+'UAT5-May'!L108</f>
        <v>0</v>
      </c>
      <c r="M139" s="528">
        <f>IF('New Hire'!N78=1,ROUND(25/10*M15%/365,5)*(M20+M21),0)+'UAT5-May'!M108</f>
        <v>0</v>
      </c>
      <c r="N139" s="528">
        <f>IF('New Hire'!O78=1,ROUND(25/10*N15%/365,5)*(N20+N21),0)+'UAT5-May'!N108</f>
        <v>0</v>
      </c>
      <c r="O139" s="528">
        <f>IF('New Hire'!P78=1,ROUND(25/10*O15%/365,5)*(O20+O21),0)+'UAT5-May'!O108</f>
        <v>0</v>
      </c>
      <c r="P139" s="341"/>
      <c r="R139" s="341"/>
      <c r="S139" s="341"/>
      <c r="T139" s="341"/>
      <c r="U139" s="341"/>
    </row>
    <row r="140" spans="1:21">
      <c r="A140" s="436" t="s">
        <v>780</v>
      </c>
      <c r="B140" s="529">
        <f>IF(B13="C",0,IF('New Hire'!C78=1,0,ROUND(5/5*B15%/365,5)*(B20+B21))+'UAT5-May'!B109)</f>
        <v>0.16531999999999997</v>
      </c>
      <c r="C140" s="529">
        <f>IF(C13="C",0,IF('New Hire'!D78=1,0,ROUND(5/5*C15%/365,5)*(C20+C21))+'UAT5-May'!C109)</f>
        <v>0</v>
      </c>
      <c r="D140" s="529">
        <f>IF(D13="C",0,IF('New Hire'!E78=1,0,ROUND(5/5*D15%/365,5)*(D20+D21))+'UAT5-May'!D109)</f>
        <v>0.14544999999999997</v>
      </c>
      <c r="E140" s="529">
        <f>IF(E13="C",0,IF('New Hire'!F78=1,0,ROUND(5/5*E15%/365,5)*(E20+E21))+'UAT5-May'!E109)</f>
        <v>0.16531999999999997</v>
      </c>
      <c r="F140" s="529">
        <f>IF(F13="C",0,IF('New Hire'!G78=1,0,ROUND(5/5*F15%/365,5)*(F20+F21))+'UAT5-May'!F109)</f>
        <v>0</v>
      </c>
      <c r="G140" s="529">
        <f>IF(G13="C",0,IF('New Hire'!H78=1,0,ROUND(5/5*G15%/365,5)*(G20+G21))+'UAT5-May'!G109)</f>
        <v>1.3500000000000001E-3</v>
      </c>
      <c r="H140" s="529">
        <f>IF(H13="C",0,IF('New Hire'!I78=1,0,ROUND(5/5*H15%/365,5)*(H20+H21))+'UAT5-May'!H109)</f>
        <v>8.2049999999999984E-2</v>
      </c>
      <c r="I140" s="529">
        <f>IF(I13="C",0,IF('New Hire'!J78=1,0,ROUND(5/5*I15%/365,5)*(I20+I21))+'UAT5-May'!I109)</f>
        <v>8.8540000000000008E-2</v>
      </c>
      <c r="J140" s="529">
        <f>IF(J13="C",0,IF('New Hire'!K78=1,0,ROUND(5/5*J15%/365,5)*(J20+J21))+'UAT5-May'!J109)</f>
        <v>5.3280000000000015E-2</v>
      </c>
      <c r="K140" s="529">
        <f>IF(K13="C",0,IF('New Hire'!L78=1,0,ROUND(5/5*K15%/365,5)*(K20+K21))+'UAT5-May'!K109)</f>
        <v>0.16531999999999997</v>
      </c>
      <c r="L140" s="529">
        <f>IF(L13="C",0,IF('New Hire'!M78=1,0,ROUND(5/5*L15%/365,5)*(L20+L21))+'UAT5-May'!L109)</f>
        <v>0.16531999999999997</v>
      </c>
      <c r="M140" s="529">
        <f>IF(M13="C",0,IF('New Hire'!N78=1,0,ROUND(5/5*M15%/365,5)*(M20+M21))+'UAT5-May'!M109)</f>
        <v>0.16531999999999997</v>
      </c>
      <c r="N140" s="529">
        <f>IF(N13="C",0,IF('New Hire'!O78=1,0,ROUND(5/5*N15%/365,5)*(N20+N21))+'UAT5-May'!N109)</f>
        <v>0.16531999999999997</v>
      </c>
      <c r="O140" s="529">
        <f>IF(O13="C",0,IF('New Hire'!P78=1,0,ROUND(5/5*O15%/365,5)*(O20+O21))+'UAT5-May'!O109)</f>
        <v>1.83E-3</v>
      </c>
      <c r="R140" s="341"/>
      <c r="S140" s="341"/>
      <c r="T140" s="341"/>
      <c r="U140" s="341"/>
    </row>
    <row r="141" spans="1:21">
      <c r="A141" s="436"/>
      <c r="B141" s="526"/>
      <c r="C141" s="526"/>
      <c r="D141" s="526"/>
      <c r="E141" s="526"/>
      <c r="F141" s="526"/>
      <c r="G141" s="526"/>
      <c r="H141" s="526"/>
      <c r="I141" s="526"/>
      <c r="J141" s="526"/>
      <c r="K141" s="526"/>
      <c r="L141" s="526"/>
      <c r="M141" s="526"/>
      <c r="N141" s="526"/>
      <c r="O141" s="526"/>
    </row>
    <row r="142" spans="1:21" ht="15.6">
      <c r="A142" s="404" t="s">
        <v>622</v>
      </c>
    </row>
    <row r="143" spans="1:21">
      <c r="A143" s="436" t="s">
        <v>1342</v>
      </c>
      <c r="B143" s="443">
        <v>5000000</v>
      </c>
      <c r="C143" s="443">
        <v>4500000</v>
      </c>
      <c r="D143" s="443">
        <v>7000000</v>
      </c>
      <c r="E143" s="443">
        <v>9000000</v>
      </c>
      <c r="F143" s="443">
        <v>14000000</v>
      </c>
      <c r="G143" s="443">
        <v>81217500</v>
      </c>
      <c r="H143" s="443">
        <v>116025000</v>
      </c>
      <c r="I143" s="443">
        <v>92820000</v>
      </c>
      <c r="J143" s="443">
        <v>50000000</v>
      </c>
      <c r="K143" s="443">
        <v>8000000</v>
      </c>
      <c r="L143" s="443">
        <v>90000000</v>
      </c>
      <c r="M143" s="443">
        <v>5000000</v>
      </c>
      <c r="N143" s="443">
        <v>6500000</v>
      </c>
      <c r="O143" s="443">
        <v>6000000</v>
      </c>
    </row>
    <row r="144" spans="1:21">
      <c r="A144" s="477" t="s">
        <v>713</v>
      </c>
      <c r="B144" s="471">
        <v>7000000</v>
      </c>
      <c r="C144" s="471">
        <v>6200000</v>
      </c>
      <c r="D144" s="471">
        <v>7000000</v>
      </c>
      <c r="E144" s="471">
        <v>11000000</v>
      </c>
      <c r="F144" s="471">
        <v>16000000</v>
      </c>
      <c r="G144" s="471">
        <f>3500*B4</f>
        <v>81217500</v>
      </c>
      <c r="H144" s="471">
        <f>5500*B4</f>
        <v>127627500</v>
      </c>
      <c r="I144" s="471">
        <f>4200*B4</f>
        <v>97461000</v>
      </c>
      <c r="J144" s="471">
        <v>55000000</v>
      </c>
      <c r="K144" s="471">
        <v>10000000</v>
      </c>
      <c r="L144" s="471">
        <v>11500000</v>
      </c>
      <c r="M144" s="471">
        <v>7000000</v>
      </c>
      <c r="N144" s="471">
        <v>6500000</v>
      </c>
      <c r="O144" s="471">
        <v>6000000</v>
      </c>
    </row>
    <row r="145" spans="1:15">
      <c r="A145" s="442" t="s">
        <v>494</v>
      </c>
      <c r="B145" s="443">
        <f>'New Hire'!C34</f>
        <v>500000</v>
      </c>
      <c r="C145" s="443">
        <f>'New Hire'!D34</f>
        <v>450000</v>
      </c>
      <c r="D145" s="443">
        <f>'New Hire'!E34</f>
        <v>700000</v>
      </c>
      <c r="E145" s="443">
        <f>'New Hire'!F34</f>
        <v>0</v>
      </c>
      <c r="F145" s="443">
        <f>'New Hire'!G34</f>
        <v>0</v>
      </c>
      <c r="G145" s="443">
        <f>'New Hire'!H34</f>
        <v>0</v>
      </c>
      <c r="H145" s="443">
        <f>'New Hire'!I34*B4</f>
        <v>11602500</v>
      </c>
      <c r="I145" s="443">
        <f>'New Hire'!J34</f>
        <v>0</v>
      </c>
      <c r="J145" s="443">
        <f>'New Hire'!K34</f>
        <v>5000000</v>
      </c>
      <c r="K145" s="443">
        <f>'New Hire'!L34</f>
        <v>800000</v>
      </c>
      <c r="L145" s="443">
        <f>'New Hire'!M34</f>
        <v>0</v>
      </c>
      <c r="M145" s="443">
        <f>'New Hire'!N34</f>
        <v>1000000</v>
      </c>
      <c r="N145" s="443">
        <f>'New Hire'!O34</f>
        <v>1000000</v>
      </c>
      <c r="O145" s="443">
        <f>'New Hire'!P34</f>
        <v>0</v>
      </c>
    </row>
    <row r="146" spans="1:15">
      <c r="A146" s="478" t="s">
        <v>714</v>
      </c>
      <c r="B146" s="471">
        <v>700000</v>
      </c>
      <c r="C146" s="471">
        <v>620000</v>
      </c>
      <c r="D146" s="471">
        <v>700000</v>
      </c>
      <c r="E146" s="471">
        <v>0</v>
      </c>
      <c r="F146" s="471">
        <v>0</v>
      </c>
      <c r="G146" s="471">
        <v>0</v>
      </c>
      <c r="H146" s="471">
        <f>550*B4</f>
        <v>12762750</v>
      </c>
      <c r="I146" s="471">
        <v>0</v>
      </c>
      <c r="J146" s="471">
        <v>5500000</v>
      </c>
      <c r="K146" s="471">
        <v>1000000</v>
      </c>
      <c r="L146" s="471">
        <v>0</v>
      </c>
      <c r="M146" s="471">
        <v>1400000</v>
      </c>
      <c r="N146" s="471">
        <v>1000000</v>
      </c>
      <c r="O146" s="471">
        <v>0</v>
      </c>
    </row>
    <row r="147" spans="1:15">
      <c r="A147" s="408" t="s">
        <v>566</v>
      </c>
      <c r="B147" s="443">
        <f>'New Hire'!C36</f>
        <v>1000000</v>
      </c>
      <c r="C147" s="443">
        <f>'New Hire'!D36</f>
        <v>900000</v>
      </c>
      <c r="D147" s="443">
        <f>'New Hire'!E36</f>
        <v>1400000</v>
      </c>
      <c r="E147" s="443">
        <f>'New Hire'!F36</f>
        <v>0</v>
      </c>
      <c r="F147" s="443">
        <f>'New Hire'!G36</f>
        <v>0</v>
      </c>
      <c r="G147" s="443">
        <f>'New Hire'!H36</f>
        <v>0</v>
      </c>
      <c r="H147" s="443">
        <f>'New Hire'!I36*B4</f>
        <v>23205000</v>
      </c>
      <c r="I147" s="443">
        <f>'New Hire'!J36</f>
        <v>0</v>
      </c>
      <c r="J147" s="443">
        <f>'New Hire'!K36</f>
        <v>10000000</v>
      </c>
      <c r="K147" s="443">
        <f>'New Hire'!L36</f>
        <v>1600000</v>
      </c>
      <c r="L147" s="443">
        <f>'New Hire'!M36</f>
        <v>0</v>
      </c>
      <c r="M147" s="443">
        <f>'New Hire'!N36</f>
        <v>1500000</v>
      </c>
      <c r="N147" s="443">
        <f>'New Hire'!O36</f>
        <v>1500000</v>
      </c>
      <c r="O147" s="443">
        <f>'New Hire'!P36</f>
        <v>0</v>
      </c>
    </row>
    <row r="148" spans="1:15">
      <c r="A148" s="479" t="s">
        <v>715</v>
      </c>
      <c r="B148" s="471">
        <v>1400000</v>
      </c>
      <c r="C148" s="471">
        <v>1240000</v>
      </c>
      <c r="D148" s="471">
        <v>1400000</v>
      </c>
      <c r="E148" s="471">
        <v>0</v>
      </c>
      <c r="F148" s="471">
        <v>0</v>
      </c>
      <c r="G148" s="471">
        <v>0</v>
      </c>
      <c r="H148" s="471">
        <f>1100*B4</f>
        <v>25525500</v>
      </c>
      <c r="I148" s="471">
        <v>0</v>
      </c>
      <c r="J148" s="471">
        <v>11000000</v>
      </c>
      <c r="K148" s="471">
        <v>2000000</v>
      </c>
      <c r="L148" s="471">
        <v>0</v>
      </c>
      <c r="M148" s="471">
        <v>2100000</v>
      </c>
      <c r="N148" s="471">
        <v>1500000</v>
      </c>
      <c r="O148" s="471">
        <v>0</v>
      </c>
    </row>
    <row r="149" spans="1:15">
      <c r="A149" s="416" t="s">
        <v>493</v>
      </c>
      <c r="B149" s="443"/>
      <c r="C149" s="443"/>
      <c r="D149" s="443"/>
      <c r="E149" s="443"/>
      <c r="F149" s="443"/>
      <c r="G149" s="443"/>
      <c r="H149" s="443"/>
      <c r="I149" s="443"/>
      <c r="J149" s="443"/>
      <c r="K149" s="443"/>
      <c r="L149" s="443"/>
      <c r="M149" s="443"/>
      <c r="N149" s="443"/>
      <c r="O149" s="443"/>
    </row>
    <row r="150" spans="1:15">
      <c r="A150" s="405" t="s">
        <v>528</v>
      </c>
      <c r="B150" s="443"/>
      <c r="C150" s="443"/>
      <c r="D150" s="443"/>
      <c r="E150" s="443"/>
      <c r="F150" s="443"/>
      <c r="G150" s="443"/>
      <c r="H150" s="443"/>
      <c r="I150" s="443"/>
      <c r="J150" s="443"/>
      <c r="K150" s="443"/>
      <c r="L150" s="443"/>
      <c r="M150" s="443"/>
      <c r="N150" s="443"/>
      <c r="O150" s="443"/>
    </row>
    <row r="151" spans="1:15">
      <c r="A151" s="416" t="s">
        <v>592</v>
      </c>
      <c r="B151" s="443"/>
      <c r="C151" s="443"/>
      <c r="D151" s="443"/>
      <c r="E151" s="443"/>
      <c r="F151" s="443"/>
      <c r="G151" s="443"/>
      <c r="H151" s="443"/>
      <c r="I151" s="443"/>
      <c r="J151" s="443"/>
      <c r="K151" s="443"/>
      <c r="L151" s="443"/>
      <c r="M151" s="443"/>
      <c r="N151" s="443"/>
      <c r="O151" s="443"/>
    </row>
    <row r="152" spans="1:15">
      <c r="A152" s="408" t="s">
        <v>491</v>
      </c>
      <c r="B152" s="443"/>
      <c r="C152" s="443"/>
      <c r="D152" s="443"/>
      <c r="E152" s="443"/>
      <c r="F152" s="443"/>
      <c r="G152" s="443"/>
      <c r="H152" s="443"/>
      <c r="I152" s="443"/>
      <c r="J152" s="443"/>
      <c r="K152" s="443"/>
      <c r="L152" s="443"/>
      <c r="M152" s="443"/>
      <c r="N152" s="443"/>
      <c r="O152" s="443"/>
    </row>
    <row r="153" spans="1:15">
      <c r="A153" s="408" t="s">
        <v>497</v>
      </c>
      <c r="B153" s="443"/>
      <c r="C153" s="443"/>
      <c r="D153" s="443"/>
      <c r="E153" s="443"/>
      <c r="F153" s="443"/>
      <c r="G153" s="443"/>
      <c r="H153" s="443"/>
      <c r="I153" s="443"/>
      <c r="J153" s="443"/>
      <c r="K153" s="443"/>
      <c r="L153" s="443"/>
      <c r="M153" s="443"/>
      <c r="N153" s="443"/>
      <c r="O153" s="443"/>
    </row>
    <row r="154" spans="1:15">
      <c r="A154" s="6" t="s">
        <v>623</v>
      </c>
      <c r="B154" s="443"/>
      <c r="C154" s="443"/>
      <c r="D154" s="443"/>
      <c r="E154" s="443"/>
      <c r="F154" s="443"/>
      <c r="G154" s="443"/>
      <c r="H154" s="443"/>
      <c r="I154" s="443"/>
      <c r="J154" s="443"/>
      <c r="K154" s="443"/>
      <c r="L154" s="443"/>
      <c r="M154" s="443"/>
      <c r="N154" s="443"/>
      <c r="O154" s="443"/>
    </row>
    <row r="155" spans="1:15">
      <c r="A155" s="6" t="s">
        <v>624</v>
      </c>
      <c r="B155" s="443"/>
      <c r="C155" s="443"/>
      <c r="D155" s="443"/>
      <c r="E155" s="443"/>
      <c r="F155" s="443"/>
      <c r="G155" s="443"/>
      <c r="H155" s="443"/>
      <c r="I155" s="443"/>
      <c r="J155" s="443"/>
      <c r="K155" s="443"/>
      <c r="L155" s="443"/>
      <c r="M155" s="443"/>
      <c r="N155" s="443"/>
      <c r="O155" s="443"/>
    </row>
    <row r="156" spans="1:15">
      <c r="A156" s="6" t="s">
        <v>625</v>
      </c>
      <c r="B156" s="443"/>
      <c r="C156" s="443"/>
      <c r="D156" s="443"/>
      <c r="E156" s="443"/>
      <c r="F156" s="443"/>
      <c r="G156" s="443"/>
      <c r="H156" s="443"/>
      <c r="I156" s="443"/>
      <c r="J156" s="443"/>
      <c r="K156" s="443"/>
      <c r="L156" s="443"/>
      <c r="M156" s="443"/>
      <c r="N156" s="443"/>
      <c r="O156" s="443"/>
    </row>
    <row r="157" spans="1:15">
      <c r="A157" s="405" t="s">
        <v>606</v>
      </c>
      <c r="B157" s="443"/>
      <c r="C157" s="443"/>
      <c r="D157" s="443"/>
      <c r="E157" s="443"/>
      <c r="F157" s="443"/>
      <c r="G157" s="443">
        <f>100*B4</f>
        <v>2320500</v>
      </c>
      <c r="H157" s="443">
        <f>100*B4</f>
        <v>2320500</v>
      </c>
      <c r="I157" s="443">
        <f>100*B4</f>
        <v>2320500</v>
      </c>
      <c r="J157" s="443"/>
      <c r="K157" s="443"/>
      <c r="L157" s="443"/>
      <c r="M157" s="443"/>
      <c r="N157" s="443"/>
      <c r="O157" s="443"/>
    </row>
    <row r="158" spans="1:15">
      <c r="A158" s="405" t="s">
        <v>607</v>
      </c>
      <c r="B158" s="443"/>
      <c r="C158" s="443"/>
      <c r="D158" s="443"/>
      <c r="E158" s="443"/>
      <c r="F158" s="443"/>
      <c r="G158" s="443">
        <f>200*B4</f>
        <v>4641000</v>
      </c>
      <c r="H158" s="443">
        <f>200*B4</f>
        <v>4641000</v>
      </c>
      <c r="I158" s="443">
        <f>200*B4</f>
        <v>4641000</v>
      </c>
      <c r="J158" s="443"/>
      <c r="K158" s="443"/>
      <c r="L158" s="443"/>
      <c r="M158" s="443"/>
      <c r="N158" s="443"/>
      <c r="O158" s="443"/>
    </row>
    <row r="159" spans="1:15">
      <c r="A159" s="6" t="s">
        <v>1343</v>
      </c>
      <c r="B159" s="443">
        <f>B143-B157-B158</f>
        <v>5000000</v>
      </c>
      <c r="C159" s="443">
        <f t="shared" ref="C159:O159" si="44">C143-C157-C158</f>
        <v>4500000</v>
      </c>
      <c r="D159" s="443">
        <f t="shared" si="44"/>
        <v>7000000</v>
      </c>
      <c r="E159" s="443">
        <f t="shared" si="44"/>
        <v>9000000</v>
      </c>
      <c r="F159" s="443">
        <f t="shared" si="44"/>
        <v>14000000</v>
      </c>
      <c r="G159" s="443">
        <f t="shared" si="44"/>
        <v>74256000</v>
      </c>
      <c r="H159" s="443">
        <f t="shared" si="44"/>
        <v>109063500</v>
      </c>
      <c r="I159" s="443">
        <f t="shared" si="44"/>
        <v>85858500</v>
      </c>
      <c r="J159" s="443">
        <f t="shared" si="44"/>
        <v>50000000</v>
      </c>
      <c r="K159" s="443">
        <f t="shared" si="44"/>
        <v>8000000</v>
      </c>
      <c r="L159" s="443">
        <f t="shared" si="44"/>
        <v>90000000</v>
      </c>
      <c r="M159" s="443">
        <f t="shared" si="44"/>
        <v>5000000</v>
      </c>
      <c r="N159" s="443">
        <f t="shared" si="44"/>
        <v>6500000</v>
      </c>
      <c r="O159" s="443">
        <f t="shared" si="44"/>
        <v>6000000</v>
      </c>
    </row>
    <row r="160" spans="1:15">
      <c r="A160" s="482" t="s">
        <v>1343</v>
      </c>
      <c r="B160" s="471">
        <f>B144-B157-B158</f>
        <v>7000000</v>
      </c>
      <c r="C160" s="471">
        <f t="shared" ref="C160:O160" si="45">C144-C157-C158</f>
        <v>6200000</v>
      </c>
      <c r="D160" s="471">
        <f t="shared" si="45"/>
        <v>7000000</v>
      </c>
      <c r="E160" s="471">
        <f t="shared" si="45"/>
        <v>11000000</v>
      </c>
      <c r="F160" s="471">
        <f t="shared" si="45"/>
        <v>16000000</v>
      </c>
      <c r="G160" s="471">
        <f t="shared" si="45"/>
        <v>74256000</v>
      </c>
      <c r="H160" s="471">
        <f t="shared" si="45"/>
        <v>120666000</v>
      </c>
      <c r="I160" s="471">
        <f t="shared" si="45"/>
        <v>90499500</v>
      </c>
      <c r="J160" s="471">
        <f t="shared" si="45"/>
        <v>55000000</v>
      </c>
      <c r="K160" s="471">
        <f t="shared" si="45"/>
        <v>10000000</v>
      </c>
      <c r="L160" s="471">
        <f t="shared" si="45"/>
        <v>11500000</v>
      </c>
      <c r="M160" s="471">
        <f t="shared" si="45"/>
        <v>7000000</v>
      </c>
      <c r="N160" s="471">
        <f t="shared" si="45"/>
        <v>6500000</v>
      </c>
      <c r="O160" s="471">
        <f t="shared" si="45"/>
        <v>6000000</v>
      </c>
    </row>
    <row r="161" spans="1:15">
      <c r="A161" s="669" t="s">
        <v>1344</v>
      </c>
      <c r="B161" s="515">
        <f t="shared" ref="B161:O161" si="46">B143-ROUND(B157/B15,0)-ROUND(B158/B15,0)</f>
        <v>5000000</v>
      </c>
      <c r="C161" s="515">
        <f t="shared" si="46"/>
        <v>4500000</v>
      </c>
      <c r="D161" s="515">
        <f t="shared" si="46"/>
        <v>7000000</v>
      </c>
      <c r="E161" s="515">
        <f t="shared" si="46"/>
        <v>9000000</v>
      </c>
      <c r="F161" s="515">
        <f t="shared" si="46"/>
        <v>14000000</v>
      </c>
      <c r="G161" s="515">
        <f t="shared" si="46"/>
        <v>74256000</v>
      </c>
      <c r="H161" s="515">
        <f t="shared" si="46"/>
        <v>102102000</v>
      </c>
      <c r="I161" s="515">
        <f t="shared" si="46"/>
        <v>83538000</v>
      </c>
      <c r="J161" s="515">
        <f t="shared" si="46"/>
        <v>50000000</v>
      </c>
      <c r="K161" s="515">
        <f t="shared" si="46"/>
        <v>8000000</v>
      </c>
      <c r="L161" s="515">
        <f t="shared" si="46"/>
        <v>90000000</v>
      </c>
      <c r="M161" s="515">
        <f t="shared" si="46"/>
        <v>5000000</v>
      </c>
      <c r="N161" s="515">
        <f t="shared" si="46"/>
        <v>6500000</v>
      </c>
      <c r="O161" s="515">
        <f t="shared" si="46"/>
        <v>6000000</v>
      </c>
    </row>
    <row r="162" spans="1:15">
      <c r="A162" s="482" t="s">
        <v>1344</v>
      </c>
      <c r="B162" s="471">
        <f t="shared" ref="B162:O162" si="47">B144-ROUND(B157/B16,0)-ROUND(B158/B16,0)</f>
        <v>7000000</v>
      </c>
      <c r="C162" s="471">
        <f t="shared" si="47"/>
        <v>6200000</v>
      </c>
      <c r="D162" s="471">
        <f t="shared" si="47"/>
        <v>7000000</v>
      </c>
      <c r="E162" s="471">
        <f t="shared" si="47"/>
        <v>11000000</v>
      </c>
      <c r="F162" s="471">
        <f t="shared" si="47"/>
        <v>16000000</v>
      </c>
      <c r="G162" s="471">
        <f t="shared" si="47"/>
        <v>74256000</v>
      </c>
      <c r="H162" s="471">
        <f t="shared" si="47"/>
        <v>113704500</v>
      </c>
      <c r="I162" s="471">
        <f t="shared" si="47"/>
        <v>88179000</v>
      </c>
      <c r="J162" s="471">
        <f t="shared" si="47"/>
        <v>55000000</v>
      </c>
      <c r="K162" s="471">
        <f t="shared" si="47"/>
        <v>10000000</v>
      </c>
      <c r="L162" s="471">
        <f t="shared" si="47"/>
        <v>11500000</v>
      </c>
      <c r="M162" s="471">
        <f t="shared" si="47"/>
        <v>7000000</v>
      </c>
      <c r="N162" s="471">
        <f t="shared" si="47"/>
        <v>6500000</v>
      </c>
      <c r="O162" s="471">
        <f t="shared" si="47"/>
        <v>6000000</v>
      </c>
    </row>
    <row r="163" spans="1:15">
      <c r="A163" s="6" t="s">
        <v>628</v>
      </c>
      <c r="B163" s="443">
        <f t="shared" ref="B163:O163" si="48">MIN(IF(OR(B23="A",B23="B"),0,ROUND((B161+B145+B147)*B15/$B$4,0)*$B$5),27800000)</f>
        <v>0</v>
      </c>
      <c r="C163" s="443">
        <f t="shared" si="48"/>
        <v>0</v>
      </c>
      <c r="D163" s="443">
        <f t="shared" si="48"/>
        <v>0</v>
      </c>
      <c r="E163" s="443">
        <f t="shared" si="48"/>
        <v>0</v>
      </c>
      <c r="F163" s="443">
        <f t="shared" si="48"/>
        <v>0</v>
      </c>
      <c r="G163" s="443">
        <f t="shared" si="48"/>
        <v>27800000</v>
      </c>
      <c r="H163" s="443">
        <f t="shared" si="48"/>
        <v>27800000</v>
      </c>
      <c r="I163" s="443">
        <f t="shared" si="48"/>
        <v>27800000</v>
      </c>
      <c r="J163" s="443">
        <f t="shared" si="48"/>
        <v>0</v>
      </c>
      <c r="K163" s="443">
        <f t="shared" si="48"/>
        <v>0</v>
      </c>
      <c r="L163" s="443">
        <f t="shared" si="48"/>
        <v>0</v>
      </c>
      <c r="M163" s="443">
        <f t="shared" si="48"/>
        <v>0</v>
      </c>
      <c r="N163" s="443">
        <f t="shared" si="48"/>
        <v>0</v>
      </c>
      <c r="O163" s="443">
        <f t="shared" si="48"/>
        <v>0</v>
      </c>
    </row>
    <row r="164" spans="1:15">
      <c r="A164" s="482" t="s">
        <v>1345</v>
      </c>
      <c r="B164" s="471">
        <f t="shared" ref="B164:O164" si="49">MIN(IF(OR(B23="A",B23="B"),0,ROUND((B162+B146+B148)*B16/$B$4,0)*$B$5),27800000)</f>
        <v>0</v>
      </c>
      <c r="C164" s="471">
        <f t="shared" si="49"/>
        <v>0</v>
      </c>
      <c r="D164" s="471">
        <f t="shared" si="49"/>
        <v>0</v>
      </c>
      <c r="E164" s="471">
        <f t="shared" si="49"/>
        <v>0</v>
      </c>
      <c r="F164" s="471">
        <f t="shared" si="49"/>
        <v>0</v>
      </c>
      <c r="G164" s="471">
        <f t="shared" si="49"/>
        <v>27800000</v>
      </c>
      <c r="H164" s="471">
        <f t="shared" si="49"/>
        <v>27800000</v>
      </c>
      <c r="I164" s="471">
        <f t="shared" si="49"/>
        <v>27800000</v>
      </c>
      <c r="J164" s="471">
        <f t="shared" si="49"/>
        <v>0</v>
      </c>
      <c r="K164" s="471">
        <f t="shared" si="49"/>
        <v>0</v>
      </c>
      <c r="L164" s="471">
        <f t="shared" si="49"/>
        <v>0</v>
      </c>
      <c r="M164" s="471">
        <f t="shared" si="49"/>
        <v>0</v>
      </c>
      <c r="N164" s="471">
        <f t="shared" si="49"/>
        <v>0</v>
      </c>
      <c r="O164" s="471">
        <f t="shared" si="49"/>
        <v>0</v>
      </c>
    </row>
    <row r="165" spans="1:15">
      <c r="A165" s="6" t="s">
        <v>1346</v>
      </c>
      <c r="B165" s="443">
        <f t="shared" ref="B165:O165" si="50">IF(OR(B23="A",B23="B"),0,ROUND((B161+B145+B147)*B15/$B$4,0)*$B$5)</f>
        <v>0</v>
      </c>
      <c r="C165" s="443">
        <f t="shared" si="50"/>
        <v>0</v>
      </c>
      <c r="D165" s="443">
        <f t="shared" si="50"/>
        <v>0</v>
      </c>
      <c r="E165" s="443">
        <f t="shared" si="50"/>
        <v>0</v>
      </c>
      <c r="F165" s="443">
        <f t="shared" si="50"/>
        <v>0</v>
      </c>
      <c r="G165" s="443">
        <f t="shared" si="50"/>
        <v>75200000</v>
      </c>
      <c r="H165" s="443">
        <f t="shared" si="50"/>
        <v>69325000</v>
      </c>
      <c r="I165" s="443">
        <f t="shared" si="50"/>
        <v>63450000</v>
      </c>
      <c r="J165" s="443">
        <f t="shared" si="50"/>
        <v>0</v>
      </c>
      <c r="K165" s="443">
        <f t="shared" si="50"/>
        <v>0</v>
      </c>
      <c r="L165" s="443">
        <f t="shared" si="50"/>
        <v>0</v>
      </c>
      <c r="M165" s="443">
        <f t="shared" si="50"/>
        <v>0</v>
      </c>
      <c r="N165" s="443">
        <f t="shared" si="50"/>
        <v>0</v>
      </c>
      <c r="O165" s="443">
        <f t="shared" si="50"/>
        <v>0</v>
      </c>
    </row>
    <row r="166" spans="1:15">
      <c r="A166" s="482" t="s">
        <v>1346</v>
      </c>
      <c r="B166" s="471">
        <f t="shared" ref="B166:O166" si="51">IF(OR(B23="A",B23="B"),0,ROUND((B162+B146+B148)*B16/$B$4,0)*$B$5)</f>
        <v>0</v>
      </c>
      <c r="C166" s="471">
        <f t="shared" si="51"/>
        <v>0</v>
      </c>
      <c r="D166" s="471">
        <f t="shared" si="51"/>
        <v>0</v>
      </c>
      <c r="E166" s="471">
        <f t="shared" si="51"/>
        <v>0</v>
      </c>
      <c r="F166" s="471">
        <f t="shared" si="51"/>
        <v>0</v>
      </c>
      <c r="G166" s="471">
        <f t="shared" si="51"/>
        <v>75200000</v>
      </c>
      <c r="H166" s="471">
        <f t="shared" si="51"/>
        <v>76962500</v>
      </c>
      <c r="I166" s="471">
        <f t="shared" si="51"/>
        <v>66975000</v>
      </c>
      <c r="J166" s="471">
        <f t="shared" si="51"/>
        <v>0</v>
      </c>
      <c r="K166" s="471">
        <f t="shared" si="51"/>
        <v>0</v>
      </c>
      <c r="L166" s="471">
        <f t="shared" si="51"/>
        <v>0</v>
      </c>
      <c r="M166" s="471">
        <f t="shared" si="51"/>
        <v>0</v>
      </c>
      <c r="N166" s="471">
        <f t="shared" si="51"/>
        <v>0</v>
      </c>
      <c r="O166" s="471">
        <f t="shared" si="51"/>
        <v>0</v>
      </c>
    </row>
    <row r="167" spans="1:15">
      <c r="A167" s="6" t="s">
        <v>657</v>
      </c>
      <c r="B167" s="5">
        <v>0</v>
      </c>
      <c r="C167" s="5">
        <v>0</v>
      </c>
      <c r="D167" s="5">
        <v>0</v>
      </c>
      <c r="E167" s="5">
        <v>0</v>
      </c>
      <c r="F167" s="5">
        <v>0</v>
      </c>
      <c r="G167" s="5">
        <v>0</v>
      </c>
      <c r="H167" s="5">
        <v>0</v>
      </c>
      <c r="I167" s="5">
        <v>0</v>
      </c>
      <c r="J167" s="5">
        <v>0</v>
      </c>
      <c r="K167" s="5">
        <v>0</v>
      </c>
      <c r="L167" s="5">
        <v>0</v>
      </c>
      <c r="M167" s="5">
        <v>0</v>
      </c>
      <c r="N167" s="5">
        <v>0</v>
      </c>
      <c r="O167" s="5">
        <v>0</v>
      </c>
    </row>
  </sheetData>
  <mergeCells count="4">
    <mergeCell ref="G6:J6"/>
    <mergeCell ref="X6:AA6"/>
    <mergeCell ref="P7:P8"/>
    <mergeCell ref="X9:AA12"/>
  </mergeCells>
  <phoneticPr fontId="104" type="noConversion"/>
  <pageMargins left="0.75" right="0.75" top="1" bottom="1" header="0.5" footer="0.5"/>
  <pageSetup paperSize="9" orientation="portrait" verticalDpi="90" r:id="rId1"/>
  <headerFooter alignWithMargins="0"/>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F152"/>
  <sheetViews>
    <sheetView workbookViewId="0">
      <pane xSplit="1" ySplit="9" topLeftCell="B101" activePane="bottomRight" state="frozen"/>
      <selection pane="topRight" activeCell="B1" sqref="B1"/>
      <selection pane="bottomLeft" activeCell="A10" sqref="A10"/>
      <selection pane="bottomRight" activeCell="O70" sqref="O70"/>
    </sheetView>
  </sheetViews>
  <sheetFormatPr defaultRowHeight="13.8"/>
  <cols>
    <col min="1" max="1" width="31" style="5" bestFit="1" customWidth="1"/>
    <col min="2" max="5" width="10.77734375" style="5" customWidth="1"/>
    <col min="6" max="8" width="10.77734375" customWidth="1"/>
    <col min="9" max="9" width="11.6640625" bestFit="1" customWidth="1"/>
    <col min="10" max="15" width="10.77734375" customWidth="1"/>
    <col min="16" max="16" width="12.6640625" bestFit="1" customWidth="1"/>
    <col min="17" max="18" width="12.77734375" customWidth="1"/>
    <col min="19" max="21" width="10.77734375" customWidth="1"/>
    <col min="22" max="26" width="9.33203125" style="5" customWidth="1"/>
    <col min="27" max="27" width="10.77734375" style="5" bestFit="1" customWidth="1"/>
    <col min="28" max="29" width="9.33203125" style="5" customWidth="1"/>
  </cols>
  <sheetData>
    <row r="1" spans="1:29" s="3" customFormat="1" ht="20.399999999999999">
      <c r="A1" s="104" t="s">
        <v>6</v>
      </c>
      <c r="B1" s="104"/>
      <c r="C1" s="104"/>
      <c r="D1" s="104"/>
      <c r="E1" s="104"/>
      <c r="F1" s="440"/>
      <c r="L1" s="8"/>
      <c r="X1" s="1"/>
      <c r="Y1" s="1"/>
      <c r="Z1" s="1"/>
      <c r="AA1" s="1"/>
      <c r="AB1" s="1"/>
      <c r="AC1" s="1"/>
    </row>
    <row r="2" spans="1:29" s="3" customFormat="1" ht="12.75" customHeight="1">
      <c r="B2" s="110"/>
      <c r="C2" s="110"/>
      <c r="D2" s="110"/>
      <c r="E2" s="109"/>
      <c r="V2" s="22"/>
      <c r="W2" s="22"/>
      <c r="X2" s="22"/>
      <c r="Y2" s="22"/>
      <c r="Z2" s="22"/>
      <c r="AA2" s="2"/>
      <c r="AC2" s="2"/>
    </row>
    <row r="3" spans="1:29" s="3" customFormat="1" ht="30">
      <c r="A3" s="106" t="s">
        <v>1402</v>
      </c>
      <c r="B3" s="110"/>
      <c r="C3" s="110"/>
      <c r="D3" s="110"/>
      <c r="E3" s="106"/>
      <c r="V3" s="22"/>
      <c r="W3" s="22"/>
      <c r="X3" s="22"/>
      <c r="Y3" s="22"/>
      <c r="Z3" s="22"/>
      <c r="AA3" s="2"/>
      <c r="AC3" s="2"/>
    </row>
    <row r="4" spans="1:29" s="110" customFormat="1">
      <c r="A4" s="110" t="s">
        <v>1265</v>
      </c>
      <c r="B4" s="361">
        <v>23205</v>
      </c>
    </row>
    <row r="5" spans="1:29" s="110" customFormat="1">
      <c r="A5" s="110" t="s">
        <v>1268</v>
      </c>
      <c r="B5" s="361">
        <v>23500</v>
      </c>
    </row>
    <row r="6" spans="1:29" s="3" customFormat="1" ht="18" customHeight="1">
      <c r="A6" s="321">
        <v>43677</v>
      </c>
      <c r="B6" s="110"/>
      <c r="C6" s="110"/>
      <c r="D6" s="110"/>
      <c r="G6" s="748" t="s">
        <v>52</v>
      </c>
      <c r="H6" s="748"/>
      <c r="I6" s="748"/>
      <c r="J6" s="748"/>
      <c r="V6" s="22"/>
      <c r="W6" s="22"/>
      <c r="X6" s="747" t="s">
        <v>65</v>
      </c>
      <c r="Y6" s="747"/>
      <c r="Z6" s="747"/>
      <c r="AA6" s="747"/>
      <c r="AB6" s="2"/>
      <c r="AC6" s="2"/>
    </row>
    <row r="7" spans="1:29" s="4" customFormat="1">
      <c r="A7" s="693"/>
      <c r="B7" s="695" t="s">
        <v>34</v>
      </c>
      <c r="C7" s="695" t="s">
        <v>35</v>
      </c>
      <c r="D7" s="511" t="s">
        <v>36</v>
      </c>
      <c r="E7" s="318" t="s">
        <v>37</v>
      </c>
      <c r="F7" s="318" t="s">
        <v>38</v>
      </c>
      <c r="G7" s="318" t="s">
        <v>39</v>
      </c>
      <c r="H7" s="318" t="s">
        <v>40</v>
      </c>
      <c r="I7" s="318" t="s">
        <v>41</v>
      </c>
      <c r="J7" s="318" t="s">
        <v>42</v>
      </c>
      <c r="K7" s="318" t="s">
        <v>43</v>
      </c>
      <c r="L7" s="318" t="s">
        <v>44</v>
      </c>
      <c r="M7" s="318" t="s">
        <v>45</v>
      </c>
      <c r="N7" s="511" t="s">
        <v>46</v>
      </c>
      <c r="O7" s="318" t="s">
        <v>47</v>
      </c>
      <c r="P7" s="758" t="s">
        <v>498</v>
      </c>
      <c r="Q7" s="343" t="s">
        <v>514</v>
      </c>
      <c r="R7" s="343" t="s">
        <v>515</v>
      </c>
      <c r="S7" s="343" t="s">
        <v>517</v>
      </c>
      <c r="T7" s="343" t="s">
        <v>519</v>
      </c>
      <c r="U7" s="343" t="s">
        <v>521</v>
      </c>
      <c r="V7" s="344"/>
      <c r="W7" s="345"/>
      <c r="X7" s="345"/>
      <c r="Y7" s="345"/>
      <c r="Z7" s="345"/>
      <c r="AA7" s="345"/>
      <c r="AB7" s="345"/>
      <c r="AC7" s="346"/>
    </row>
    <row r="8" spans="1:29" ht="15.6">
      <c r="A8" s="694"/>
      <c r="B8" s="333">
        <f>'New Hire'!C6</f>
        <v>91999901</v>
      </c>
      <c r="C8" s="333">
        <f>'New Hire'!D6</f>
        <v>91999902</v>
      </c>
      <c r="D8" s="512">
        <f>'New Hire'!E6</f>
        <v>91999903</v>
      </c>
      <c r="E8" s="333">
        <f>'New Hire'!F6</f>
        <v>91999904</v>
      </c>
      <c r="F8" s="333">
        <f>'New Hire'!G6</f>
        <v>91999905</v>
      </c>
      <c r="G8" s="333">
        <f>'New Hire'!H6</f>
        <v>91999906</v>
      </c>
      <c r="H8" s="333">
        <f>'New Hire'!I6</f>
        <v>91999907</v>
      </c>
      <c r="I8" s="333">
        <f>'New Hire'!J6</f>
        <v>91999908</v>
      </c>
      <c r="J8" s="333">
        <f>'New Hire'!K6</f>
        <v>91999909</v>
      </c>
      <c r="K8" s="333">
        <f>'New Hire'!L6</f>
        <v>91999910</v>
      </c>
      <c r="L8" s="333">
        <f>'New Hire'!M6</f>
        <v>91999911</v>
      </c>
      <c r="M8" s="333">
        <f>'New Hire'!N6</f>
        <v>91999912</v>
      </c>
      <c r="N8" s="512">
        <f>'New Hire'!O6</f>
        <v>91999913</v>
      </c>
      <c r="O8" s="333">
        <f>'New Hire'!P6</f>
        <v>91999914</v>
      </c>
      <c r="P8" s="759"/>
      <c r="Q8" s="343" t="s">
        <v>513</v>
      </c>
      <c r="R8" s="343" t="s">
        <v>516</v>
      </c>
      <c r="S8" s="343" t="s">
        <v>518</v>
      </c>
      <c r="T8" s="343" t="s">
        <v>520</v>
      </c>
      <c r="U8" s="343" t="s">
        <v>522</v>
      </c>
      <c r="V8" s="47"/>
      <c r="W8" s="48"/>
      <c r="X8" s="20"/>
      <c r="Y8" s="20"/>
      <c r="Z8" s="20"/>
      <c r="AA8" s="20"/>
      <c r="AB8" s="20"/>
      <c r="AC8" s="15"/>
    </row>
    <row r="9" spans="1:29" ht="12.75" customHeight="1">
      <c r="A9" s="404" t="s">
        <v>63</v>
      </c>
      <c r="B9" s="23"/>
      <c r="C9" s="19"/>
      <c r="D9" s="19"/>
      <c r="E9" s="20"/>
      <c r="F9" s="19"/>
      <c r="G9" s="19"/>
      <c r="H9" s="21"/>
      <c r="I9" s="19"/>
      <c r="J9" s="19"/>
      <c r="K9" s="20"/>
      <c r="L9" s="20"/>
      <c r="M9" s="20"/>
      <c r="N9" s="20"/>
      <c r="O9" s="20"/>
      <c r="P9" s="336"/>
      <c r="Q9" s="20"/>
      <c r="R9" s="20"/>
      <c r="S9" s="20"/>
      <c r="T9" s="20"/>
      <c r="U9" s="20"/>
      <c r="V9" s="25"/>
      <c r="W9" s="26"/>
      <c r="X9" s="749" t="s">
        <v>601</v>
      </c>
      <c r="Y9" s="750"/>
      <c r="Z9" s="750"/>
      <c r="AA9" s="751"/>
      <c r="AB9" s="27"/>
      <c r="AC9" s="18"/>
    </row>
    <row r="10" spans="1:29">
      <c r="A10" s="417" t="s">
        <v>478</v>
      </c>
      <c r="B10" s="379">
        <v>43647</v>
      </c>
      <c r="C10" s="379">
        <v>43647</v>
      </c>
      <c r="D10" s="379" t="s">
        <v>1126</v>
      </c>
      <c r="E10" s="379">
        <v>43647</v>
      </c>
      <c r="F10" s="379">
        <v>43647</v>
      </c>
      <c r="G10" s="379">
        <v>43647</v>
      </c>
      <c r="H10" s="379">
        <v>43647</v>
      </c>
      <c r="I10" s="379">
        <v>43647</v>
      </c>
      <c r="J10" s="379">
        <v>43647</v>
      </c>
      <c r="K10" s="379">
        <v>43647</v>
      </c>
      <c r="L10" s="379">
        <v>43647</v>
      </c>
      <c r="M10" s="379">
        <v>43647</v>
      </c>
      <c r="N10" s="379">
        <v>43647</v>
      </c>
      <c r="O10" s="379">
        <v>43647</v>
      </c>
      <c r="P10" s="336"/>
      <c r="Q10" s="20"/>
      <c r="R10" s="20"/>
      <c r="S10" s="20"/>
      <c r="T10" s="20"/>
      <c r="U10" s="20"/>
      <c r="V10" s="28"/>
      <c r="W10" s="29"/>
      <c r="X10" s="752"/>
      <c r="Y10" s="753"/>
      <c r="Z10" s="753"/>
      <c r="AA10" s="754"/>
      <c r="AB10" s="30"/>
      <c r="AC10" s="15"/>
    </row>
    <row r="11" spans="1:29" ht="12.75" customHeight="1">
      <c r="A11" s="513" t="s">
        <v>708</v>
      </c>
      <c r="B11" s="421"/>
      <c r="C11" s="421"/>
      <c r="D11" s="421"/>
      <c r="E11" s="421"/>
      <c r="F11" s="421"/>
      <c r="G11" s="421"/>
      <c r="H11" s="421"/>
      <c r="I11" s="421"/>
      <c r="J11" s="421"/>
      <c r="K11" s="421"/>
      <c r="L11" s="421"/>
      <c r="M11" s="421"/>
      <c r="N11" s="421">
        <v>43641</v>
      </c>
      <c r="O11" s="421"/>
      <c r="P11" s="336"/>
      <c r="Q11" s="20"/>
      <c r="R11" s="20"/>
      <c r="S11" s="20"/>
      <c r="T11" s="20"/>
      <c r="U11" s="20"/>
      <c r="V11" s="32"/>
      <c r="W11" s="20"/>
      <c r="X11" s="752"/>
      <c r="Y11" s="753"/>
      <c r="Z11" s="753"/>
      <c r="AA11" s="754"/>
      <c r="AB11" s="20"/>
      <c r="AC11" s="15"/>
    </row>
    <row r="12" spans="1:29" ht="12.75" customHeight="1">
      <c r="A12" s="98" t="s">
        <v>489</v>
      </c>
      <c r="B12" s="381" t="s">
        <v>1337</v>
      </c>
      <c r="C12" s="382" t="s">
        <v>1338</v>
      </c>
      <c r="D12" s="382" t="s">
        <v>1339</v>
      </c>
      <c r="E12" s="382" t="s">
        <v>1339</v>
      </c>
      <c r="F12" s="382">
        <v>4</v>
      </c>
      <c r="G12" s="382" t="s">
        <v>1337</v>
      </c>
      <c r="H12" s="382" t="s">
        <v>1340</v>
      </c>
      <c r="I12" s="382" t="s">
        <v>1341</v>
      </c>
      <c r="J12" s="382" t="s">
        <v>1338</v>
      </c>
      <c r="K12" s="382" t="s">
        <v>1337</v>
      </c>
      <c r="L12" s="382" t="s">
        <v>1337</v>
      </c>
      <c r="M12" s="382">
        <v>3</v>
      </c>
      <c r="N12" s="382">
        <v>3</v>
      </c>
      <c r="O12" s="684" t="s">
        <v>1337</v>
      </c>
      <c r="P12" s="336"/>
      <c r="Q12" s="20"/>
      <c r="R12" s="20"/>
      <c r="S12" s="20"/>
      <c r="T12" s="20"/>
      <c r="U12" s="20"/>
      <c r="V12" s="32"/>
      <c r="W12" s="20"/>
      <c r="X12" s="755"/>
      <c r="Y12" s="756"/>
      <c r="Z12" s="756"/>
      <c r="AA12" s="757"/>
      <c r="AB12" s="20"/>
      <c r="AC12" s="15"/>
    </row>
    <row r="13" spans="1:29">
      <c r="A13" s="417" t="s">
        <v>490</v>
      </c>
      <c r="B13" s="385" t="str">
        <f>'UAT6-Jun'!B14</f>
        <v>;P</v>
      </c>
      <c r="C13" s="385" t="str">
        <f>'UAT6-Jun'!C14</f>
        <v>;A</v>
      </c>
      <c r="D13" s="385" t="str">
        <f>'UAT6-Jun'!D14</f>
        <v>;E</v>
      </c>
      <c r="E13" s="385" t="str">
        <f>'UAT6-Jun'!E14</f>
        <v>;I</v>
      </c>
      <c r="F13" s="385" t="str">
        <f>'UAT6-Jun'!F14</f>
        <v>;P</v>
      </c>
      <c r="G13" s="385" t="str">
        <f>'UAT6-Jun'!G14</f>
        <v>;A</v>
      </c>
      <c r="H13" s="385" t="str">
        <f>'UAT6-Jun'!H14</f>
        <v>;A</v>
      </c>
      <c r="I13" s="385" t="str">
        <f>'UAT6-Jun'!I14</f>
        <v>;V</v>
      </c>
      <c r="J13" s="385" t="str">
        <f>'UAT6-Jun'!J14</f>
        <v>;P</v>
      </c>
      <c r="K13" s="385" t="str">
        <f>'UAT6-Jun'!K14</f>
        <v>;A</v>
      </c>
      <c r="L13" s="385" t="str">
        <f>'UAT6-Jun'!L14</f>
        <v>;I</v>
      </c>
      <c r="M13" s="385" t="str">
        <f>'UAT6-Jun'!M14</f>
        <v>;P</v>
      </c>
      <c r="N13" s="385" t="str">
        <f>'UAT6-Jun'!N14</f>
        <v>;P</v>
      </c>
      <c r="O13" s="385" t="str">
        <f>'UAT6-Jun'!O14</f>
        <v>;I</v>
      </c>
      <c r="P13" s="336"/>
      <c r="Q13" s="20"/>
      <c r="R13" s="20"/>
      <c r="S13" s="20"/>
      <c r="T13" s="20"/>
      <c r="U13" s="20"/>
      <c r="V13" s="23"/>
      <c r="W13" s="19"/>
      <c r="X13" s="19"/>
      <c r="Y13" s="19"/>
      <c r="Z13" s="19"/>
      <c r="AA13" s="19"/>
      <c r="AB13" s="19"/>
      <c r="AC13" s="31"/>
    </row>
    <row r="14" spans="1:29">
      <c r="A14" s="99" t="s">
        <v>476</v>
      </c>
      <c r="B14" s="648">
        <f>'New Hire'!C27</f>
        <v>1</v>
      </c>
      <c r="C14" s="649">
        <f>'New Hire'!D27</f>
        <v>0.9</v>
      </c>
      <c r="D14" s="649">
        <f>'New Hire'!E27</f>
        <v>1</v>
      </c>
      <c r="E14" s="649">
        <f>'New Hire'!F27</f>
        <v>1</v>
      </c>
      <c r="F14" s="649">
        <f>'New Hire'!G27</f>
        <v>0.8</v>
      </c>
      <c r="G14" s="649">
        <f>'New Hire'!H27</f>
        <v>1</v>
      </c>
      <c r="H14" s="649">
        <f>'New Hire'!I27</f>
        <v>0.5</v>
      </c>
      <c r="I14" s="649">
        <f>'New Hire'!J27</f>
        <v>0.75</v>
      </c>
      <c r="J14" s="649">
        <f>'New Hire'!K27</f>
        <v>0.6</v>
      </c>
      <c r="K14" s="649">
        <f>'New Hire'!L27</f>
        <v>1</v>
      </c>
      <c r="L14" s="649">
        <f>'New Hire'!M27</f>
        <v>1</v>
      </c>
      <c r="M14" s="649">
        <f>'New Hire'!N27</f>
        <v>1</v>
      </c>
      <c r="N14" s="649">
        <f>'New Hire'!O27</f>
        <v>1</v>
      </c>
      <c r="O14" s="649">
        <f>'UAT6-Jun'!O16</f>
        <v>0.75</v>
      </c>
      <c r="P14" s="336"/>
      <c r="Q14" s="20"/>
      <c r="R14" s="20"/>
      <c r="S14" s="20"/>
      <c r="T14" s="20"/>
      <c r="U14" s="20"/>
      <c r="V14" s="23"/>
      <c r="W14" s="19"/>
      <c r="X14" s="19"/>
      <c r="Y14" s="19"/>
      <c r="Z14" s="19"/>
      <c r="AA14" s="19"/>
      <c r="AB14" s="19"/>
      <c r="AC14" s="31"/>
    </row>
    <row r="15" spans="1:29">
      <c r="A15" s="417" t="s">
        <v>479</v>
      </c>
      <c r="B15" s="332">
        <f>NETWORKDAYS(B10,$A$6)</f>
        <v>23</v>
      </c>
      <c r="C15" s="332">
        <f t="shared" ref="C15:O15" si="0">NETWORKDAYS(C10,$A$6)</f>
        <v>23</v>
      </c>
      <c r="D15" s="332">
        <v>0</v>
      </c>
      <c r="E15" s="332">
        <f t="shared" si="0"/>
        <v>23</v>
      </c>
      <c r="F15" s="332">
        <f t="shared" si="0"/>
        <v>23</v>
      </c>
      <c r="G15" s="332">
        <f t="shared" si="0"/>
        <v>23</v>
      </c>
      <c r="H15" s="332">
        <f t="shared" si="0"/>
        <v>23</v>
      </c>
      <c r="I15" s="332">
        <f t="shared" si="0"/>
        <v>23</v>
      </c>
      <c r="J15" s="332">
        <f t="shared" si="0"/>
        <v>23</v>
      </c>
      <c r="K15" s="332">
        <f t="shared" si="0"/>
        <v>23</v>
      </c>
      <c r="L15" s="332">
        <f t="shared" si="0"/>
        <v>23</v>
      </c>
      <c r="M15" s="332">
        <f t="shared" si="0"/>
        <v>23</v>
      </c>
      <c r="N15" s="332">
        <f t="shared" si="0"/>
        <v>23</v>
      </c>
      <c r="O15" s="332">
        <f t="shared" si="0"/>
        <v>23</v>
      </c>
      <c r="P15" s="336"/>
      <c r="Q15" s="20"/>
      <c r="R15" s="20"/>
      <c r="S15" s="20"/>
      <c r="T15" s="20"/>
      <c r="U15" s="20"/>
      <c r="V15" s="23"/>
      <c r="W15" s="19"/>
      <c r="X15" s="19"/>
      <c r="Y15" s="19"/>
      <c r="Z15" s="19"/>
      <c r="AA15" s="19"/>
      <c r="AB15" s="19"/>
      <c r="AC15" s="31"/>
    </row>
    <row r="16" spans="1:29">
      <c r="A16" s="513" t="s">
        <v>726</v>
      </c>
      <c r="B16" s="425"/>
      <c r="C16" s="425"/>
      <c r="D16" s="425"/>
      <c r="E16" s="425"/>
      <c r="F16" s="425"/>
      <c r="G16" s="425"/>
      <c r="H16" s="425"/>
      <c r="I16" s="425"/>
      <c r="J16" s="425"/>
      <c r="K16" s="425"/>
      <c r="L16" s="425"/>
      <c r="M16" s="425"/>
      <c r="N16" s="425">
        <f>NETWORKDAYS(N11,EOMONTH(A6,-1))</f>
        <v>4</v>
      </c>
      <c r="O16" s="425"/>
      <c r="P16" s="336"/>
      <c r="Q16" s="20"/>
      <c r="R16" s="20"/>
      <c r="S16" s="20"/>
      <c r="T16" s="20"/>
      <c r="U16" s="20"/>
      <c r="V16" s="23"/>
      <c r="W16" s="19"/>
      <c r="X16" s="19"/>
      <c r="Y16" s="19"/>
      <c r="Z16" s="19"/>
      <c r="AA16" s="19"/>
      <c r="AB16" s="19"/>
      <c r="AC16" s="31"/>
    </row>
    <row r="17" spans="1:29">
      <c r="A17" s="417" t="s">
        <v>632</v>
      </c>
      <c r="B17" s="332">
        <f>NETWORKDAYS(EOMONTH($A$6,-1)+1,EOMONTH($A$6,0))</f>
        <v>23</v>
      </c>
      <c r="C17" s="332">
        <f t="shared" ref="C17:O17" si="1">NETWORKDAYS(EOMONTH($A$6,-1)+1,EOMONTH($A$6,0))</f>
        <v>23</v>
      </c>
      <c r="D17" s="332">
        <v>0</v>
      </c>
      <c r="E17" s="332">
        <f t="shared" si="1"/>
        <v>23</v>
      </c>
      <c r="F17" s="332">
        <f t="shared" si="1"/>
        <v>23</v>
      </c>
      <c r="G17" s="332">
        <f t="shared" si="1"/>
        <v>23</v>
      </c>
      <c r="H17" s="332">
        <f t="shared" si="1"/>
        <v>23</v>
      </c>
      <c r="I17" s="332">
        <f t="shared" si="1"/>
        <v>23</v>
      </c>
      <c r="J17" s="332">
        <f t="shared" si="1"/>
        <v>23</v>
      </c>
      <c r="K17" s="332">
        <f t="shared" si="1"/>
        <v>23</v>
      </c>
      <c r="L17" s="332">
        <f t="shared" si="1"/>
        <v>23</v>
      </c>
      <c r="M17" s="332">
        <f t="shared" si="1"/>
        <v>23</v>
      </c>
      <c r="N17" s="332">
        <f t="shared" si="1"/>
        <v>23</v>
      </c>
      <c r="O17" s="332">
        <f t="shared" si="1"/>
        <v>23</v>
      </c>
      <c r="P17" s="336"/>
      <c r="Q17" s="20"/>
      <c r="R17" s="20"/>
      <c r="S17" s="20"/>
      <c r="T17" s="20"/>
      <c r="U17" s="20"/>
      <c r="V17" s="23"/>
      <c r="W17" s="19"/>
      <c r="X17" s="19"/>
      <c r="Y17" s="19"/>
      <c r="Z17" s="19"/>
      <c r="AA17" s="19"/>
      <c r="AB17" s="19"/>
      <c r="AC17" s="31"/>
    </row>
    <row r="18" spans="1:29">
      <c r="A18" s="417" t="s">
        <v>511</v>
      </c>
      <c r="B18" s="329">
        <f>_xlfn.DAYS($A$6,B10)+1</f>
        <v>31</v>
      </c>
      <c r="C18" s="329">
        <f t="shared" ref="C18:O18" si="2">_xlfn.DAYS($A$6,C10)+1</f>
        <v>31</v>
      </c>
      <c r="D18" s="329">
        <v>0</v>
      </c>
      <c r="E18" s="329">
        <f t="shared" si="2"/>
        <v>31</v>
      </c>
      <c r="F18" s="329">
        <f t="shared" si="2"/>
        <v>31</v>
      </c>
      <c r="G18" s="329">
        <f t="shared" si="2"/>
        <v>31</v>
      </c>
      <c r="H18" s="329">
        <f t="shared" si="2"/>
        <v>31</v>
      </c>
      <c r="I18" s="329">
        <f t="shared" si="2"/>
        <v>31</v>
      </c>
      <c r="J18" s="329">
        <f t="shared" si="2"/>
        <v>31</v>
      </c>
      <c r="K18" s="329">
        <f t="shared" si="2"/>
        <v>31</v>
      </c>
      <c r="L18" s="329">
        <f t="shared" si="2"/>
        <v>31</v>
      </c>
      <c r="M18" s="329">
        <f t="shared" si="2"/>
        <v>31</v>
      </c>
      <c r="N18" s="329">
        <f t="shared" si="2"/>
        <v>31</v>
      </c>
      <c r="O18" s="329">
        <f t="shared" si="2"/>
        <v>31</v>
      </c>
      <c r="P18" s="336"/>
      <c r="Q18" s="20"/>
      <c r="R18" s="20"/>
      <c r="S18" s="20"/>
      <c r="T18" s="20"/>
      <c r="U18" s="20"/>
      <c r="V18" s="23"/>
      <c r="W18" s="19"/>
      <c r="X18" s="19"/>
      <c r="Y18" s="19"/>
      <c r="Z18" s="19"/>
      <c r="AA18" s="19"/>
      <c r="AB18" s="19"/>
      <c r="AC18" s="31"/>
    </row>
    <row r="19" spans="1:29">
      <c r="A19" s="513" t="s">
        <v>727</v>
      </c>
      <c r="B19" s="426"/>
      <c r="C19" s="426"/>
      <c r="D19" s="426"/>
      <c r="E19" s="426"/>
      <c r="F19" s="426"/>
      <c r="G19" s="426"/>
      <c r="H19" s="426"/>
      <c r="I19" s="426"/>
      <c r="J19" s="426"/>
      <c r="K19" s="426"/>
      <c r="L19" s="426"/>
      <c r="M19" s="426"/>
      <c r="N19" s="426">
        <f>_xlfn.DAYS(EOMONTH(A6,-1),N11)+1</f>
        <v>6</v>
      </c>
      <c r="O19" s="426"/>
      <c r="P19" s="336"/>
      <c r="Q19" s="20"/>
      <c r="R19" s="20"/>
      <c r="S19" s="20"/>
      <c r="T19" s="20"/>
      <c r="U19" s="20"/>
      <c r="V19" s="23"/>
      <c r="W19" s="19"/>
      <c r="X19" s="19"/>
      <c r="Y19" s="19"/>
      <c r="Z19" s="19"/>
      <c r="AA19" s="19"/>
      <c r="AB19" s="19"/>
      <c r="AC19" s="31"/>
    </row>
    <row r="20" spans="1:29" ht="15.6">
      <c r="A20" s="98" t="s">
        <v>531</v>
      </c>
      <c r="B20" s="330">
        <f>DATEDIF('New Hire'!C41,$A$6,"Y")</f>
        <v>9</v>
      </c>
      <c r="C20" s="331">
        <f>DATEDIF('New Hire'!D41,$A$6,"Y")</f>
        <v>13</v>
      </c>
      <c r="D20" s="331">
        <f>DATEDIF('New Hire'!E41,$A$6,"Y")</f>
        <v>0</v>
      </c>
      <c r="E20" s="331">
        <f>DATEDIF('New Hire'!F41,$A$6,"Y")</f>
        <v>4</v>
      </c>
      <c r="F20" s="331">
        <f>DATEDIF('New Hire'!G41,$A$6,"Y")</f>
        <v>9</v>
      </c>
      <c r="G20" s="331">
        <f>DATEDIF('New Hire'!H41,$A$6,"Y")</f>
        <v>0</v>
      </c>
      <c r="H20" s="331">
        <f>DATEDIF('New Hire'!I41,$A$6,"Y")</f>
        <v>14</v>
      </c>
      <c r="I20" s="331">
        <f>DATEDIF('New Hire'!J41,$A$6,"Y")</f>
        <v>0</v>
      </c>
      <c r="J20" s="331">
        <f>DATEDIF('New Hire'!K41,$A$6,"Y")</f>
        <v>0</v>
      </c>
      <c r="K20" s="331">
        <f>DATEDIF('New Hire'!L41,$A$6,"Y")</f>
        <v>9</v>
      </c>
      <c r="L20" s="331">
        <f>DATEDIF('New Hire'!M41,$A$6,"Y")</f>
        <v>4</v>
      </c>
      <c r="M20" s="331">
        <f>DATEDIF('New Hire'!N41,$A$6,"Y")</f>
        <v>0</v>
      </c>
      <c r="N20" s="331">
        <f>DATEDIF('New Hire'!O41,$A$6,"Y")</f>
        <v>11</v>
      </c>
      <c r="O20" s="331">
        <f>DATEDIF('New Hire'!P41,$A$6,"Y")</f>
        <v>0</v>
      </c>
      <c r="P20" s="336"/>
      <c r="Q20" s="20"/>
      <c r="R20" s="20"/>
      <c r="S20" s="20"/>
      <c r="T20" s="20"/>
      <c r="U20" s="20"/>
      <c r="V20" s="40"/>
      <c r="W20" s="41"/>
      <c r="X20" s="19"/>
      <c r="Y20" s="19"/>
      <c r="Z20" s="19"/>
      <c r="AA20" s="19"/>
      <c r="AB20" s="16"/>
      <c r="AC20" s="17"/>
    </row>
    <row r="21" spans="1:29">
      <c r="A21" s="98" t="s">
        <v>563</v>
      </c>
      <c r="B21" s="330" t="str">
        <f>'New Hire'!C52</f>
        <v>A</v>
      </c>
      <c r="C21" s="331" t="str">
        <f>'New Hire'!D52</f>
        <v>A</v>
      </c>
      <c r="D21" s="331" t="str">
        <f>'New Hire'!E52</f>
        <v>A</v>
      </c>
      <c r="E21" s="331" t="str">
        <f>'New Hire'!F52</f>
        <v>B</v>
      </c>
      <c r="F21" s="331" t="str">
        <f>'New Hire'!G52</f>
        <v>B</v>
      </c>
      <c r="G21" s="331" t="str">
        <f>'New Hire'!H52</f>
        <v>C</v>
      </c>
      <c r="H21" s="331" t="str">
        <f>'New Hire'!I52</f>
        <v>D</v>
      </c>
      <c r="I21" s="331" t="str">
        <f>'New Hire'!J52</f>
        <v>D</v>
      </c>
      <c r="J21" s="331" t="str">
        <f>'New Hire'!K52</f>
        <v>A</v>
      </c>
      <c r="K21" s="331" t="str">
        <f>'New Hire'!L52</f>
        <v>A</v>
      </c>
      <c r="L21" s="331" t="str">
        <f>'New Hire'!M52</f>
        <v>A</v>
      </c>
      <c r="M21" s="331" t="str">
        <f>'New Hire'!N52</f>
        <v>A</v>
      </c>
      <c r="N21" s="331" t="str">
        <f>'New Hire'!O52</f>
        <v>A</v>
      </c>
      <c r="O21" s="331" t="str">
        <f>'New Hire'!P52</f>
        <v>B</v>
      </c>
      <c r="P21" s="336"/>
      <c r="Q21" s="20"/>
      <c r="R21" s="20"/>
      <c r="S21" s="20"/>
      <c r="T21" s="20"/>
      <c r="U21" s="20"/>
      <c r="V21" s="50"/>
      <c r="W21" s="44"/>
      <c r="X21" s="44"/>
      <c r="Y21" s="44"/>
      <c r="Z21" s="44"/>
      <c r="AA21" s="44"/>
      <c r="AB21" s="44"/>
      <c r="AC21" s="51"/>
    </row>
    <row r="22" spans="1:29">
      <c r="A22" s="449" t="s">
        <v>107</v>
      </c>
      <c r="B22" s="88">
        <v>1</v>
      </c>
      <c r="C22" s="88">
        <v>2</v>
      </c>
      <c r="D22" s="88">
        <v>0</v>
      </c>
      <c r="E22" s="88">
        <v>3</v>
      </c>
      <c r="F22" s="88">
        <v>0</v>
      </c>
      <c r="G22" s="88">
        <v>0</v>
      </c>
      <c r="H22" s="88">
        <v>2</v>
      </c>
      <c r="I22" s="88">
        <v>0</v>
      </c>
      <c r="J22" s="88">
        <v>0</v>
      </c>
      <c r="K22" s="88">
        <v>0</v>
      </c>
      <c r="L22" s="88">
        <v>0</v>
      </c>
      <c r="M22" s="88">
        <v>0</v>
      </c>
      <c r="N22" s="88">
        <v>0</v>
      </c>
      <c r="O22" s="88">
        <v>0</v>
      </c>
      <c r="P22" s="336"/>
      <c r="Q22" s="20"/>
      <c r="R22" s="20"/>
      <c r="S22" s="20"/>
      <c r="T22" s="20"/>
      <c r="U22" s="20"/>
      <c r="V22" s="112" t="s">
        <v>57</v>
      </c>
      <c r="W22" s="113" t="s">
        <v>67</v>
      </c>
      <c r="X22" s="113" t="s">
        <v>69</v>
      </c>
      <c r="Y22" s="113" t="s">
        <v>70</v>
      </c>
      <c r="Z22" s="113" t="s">
        <v>56</v>
      </c>
      <c r="AA22" s="113" t="s">
        <v>54</v>
      </c>
      <c r="AB22" s="113" t="s">
        <v>58</v>
      </c>
      <c r="AC22" s="114" t="s">
        <v>59</v>
      </c>
    </row>
    <row r="23" spans="1:29">
      <c r="A23" s="450" t="s">
        <v>113</v>
      </c>
      <c r="B23" s="89">
        <f>IF(OR(B21="A",B21="C"),3600000*B22,0)</f>
        <v>3600000</v>
      </c>
      <c r="C23" s="89">
        <f t="shared" ref="C23:O23" si="3">IF(OR(C21="A",C21="C"),3600000*C22,0)</f>
        <v>7200000</v>
      </c>
      <c r="D23" s="89">
        <f t="shared" si="3"/>
        <v>0</v>
      </c>
      <c r="E23" s="89">
        <f t="shared" si="3"/>
        <v>0</v>
      </c>
      <c r="F23" s="89">
        <f t="shared" si="3"/>
        <v>0</v>
      </c>
      <c r="G23" s="89">
        <f t="shared" si="3"/>
        <v>0</v>
      </c>
      <c r="H23" s="89">
        <f t="shared" si="3"/>
        <v>0</v>
      </c>
      <c r="I23" s="89">
        <f t="shared" si="3"/>
        <v>0</v>
      </c>
      <c r="J23" s="89">
        <f t="shared" si="3"/>
        <v>0</v>
      </c>
      <c r="K23" s="89">
        <f t="shared" si="3"/>
        <v>0</v>
      </c>
      <c r="L23" s="89">
        <f t="shared" si="3"/>
        <v>0</v>
      </c>
      <c r="M23" s="89">
        <f t="shared" si="3"/>
        <v>0</v>
      </c>
      <c r="N23" s="89">
        <f t="shared" si="3"/>
        <v>0</v>
      </c>
      <c r="O23" s="89">
        <f t="shared" si="3"/>
        <v>0</v>
      </c>
      <c r="P23" s="589">
        <f>SUM(B23:O23)</f>
        <v>10800000</v>
      </c>
      <c r="Q23" s="20"/>
      <c r="R23" s="20"/>
      <c r="S23" s="20"/>
      <c r="T23" s="20"/>
      <c r="U23" s="20"/>
      <c r="V23" s="350" t="s">
        <v>2</v>
      </c>
      <c r="W23" s="351">
        <v>91999901</v>
      </c>
      <c r="X23" s="352" t="s">
        <v>505</v>
      </c>
      <c r="Y23" s="352" t="s">
        <v>506</v>
      </c>
      <c r="Z23" s="353" t="s">
        <v>507</v>
      </c>
      <c r="AA23" s="354">
        <v>8000000</v>
      </c>
      <c r="AB23" s="352"/>
      <c r="AC23" s="355"/>
    </row>
    <row r="24" spans="1:29">
      <c r="A24" s="450" t="s">
        <v>114</v>
      </c>
      <c r="B24" s="89">
        <f>IF(OR(B21="A",B21="C"),9000000,0)</f>
        <v>9000000</v>
      </c>
      <c r="C24" s="89">
        <f t="shared" ref="C24:O24" si="4">IF(OR(C21="A",C21="C"),9000000,0)</f>
        <v>9000000</v>
      </c>
      <c r="D24" s="89">
        <f t="shared" si="4"/>
        <v>9000000</v>
      </c>
      <c r="E24" s="89">
        <f t="shared" si="4"/>
        <v>0</v>
      </c>
      <c r="F24" s="89">
        <f t="shared" si="4"/>
        <v>0</v>
      </c>
      <c r="G24" s="89">
        <f t="shared" si="4"/>
        <v>9000000</v>
      </c>
      <c r="H24" s="89">
        <f t="shared" si="4"/>
        <v>0</v>
      </c>
      <c r="I24" s="89">
        <f t="shared" si="4"/>
        <v>0</v>
      </c>
      <c r="J24" s="89">
        <f t="shared" si="4"/>
        <v>9000000</v>
      </c>
      <c r="K24" s="89">
        <f t="shared" si="4"/>
        <v>9000000</v>
      </c>
      <c r="L24" s="89">
        <f t="shared" si="4"/>
        <v>9000000</v>
      </c>
      <c r="M24" s="89">
        <f t="shared" si="4"/>
        <v>9000000</v>
      </c>
      <c r="N24" s="89">
        <f t="shared" si="4"/>
        <v>9000000</v>
      </c>
      <c r="O24" s="89">
        <f t="shared" si="4"/>
        <v>0</v>
      </c>
      <c r="P24" s="589">
        <f>SUM(B24:O24)</f>
        <v>81000000</v>
      </c>
      <c r="Q24" s="66"/>
      <c r="R24" s="66"/>
      <c r="S24" s="66"/>
      <c r="T24" s="66"/>
      <c r="U24" s="66"/>
      <c r="V24" s="350" t="s">
        <v>2</v>
      </c>
      <c r="W24" s="351">
        <v>91999902</v>
      </c>
      <c r="X24" s="352" t="s">
        <v>505</v>
      </c>
      <c r="Y24" s="352" t="s">
        <v>506</v>
      </c>
      <c r="Z24" s="353" t="s">
        <v>507</v>
      </c>
      <c r="AA24" s="354">
        <v>8000000</v>
      </c>
      <c r="AB24" s="352"/>
      <c r="AC24" s="355"/>
    </row>
    <row r="25" spans="1:29" ht="15.6">
      <c r="A25" s="406" t="s">
        <v>53</v>
      </c>
      <c r="B25" s="64"/>
      <c r="C25" s="65"/>
      <c r="D25" s="65"/>
      <c r="E25" s="66"/>
      <c r="F25" s="65"/>
      <c r="G25" s="65"/>
      <c r="H25" s="21"/>
      <c r="I25" s="65"/>
      <c r="J25" s="65"/>
      <c r="K25" s="66"/>
      <c r="L25" s="66"/>
      <c r="M25" s="66"/>
      <c r="N25" s="66"/>
      <c r="O25" s="66"/>
      <c r="P25" s="337"/>
      <c r="Q25" s="66"/>
      <c r="R25" s="66"/>
      <c r="S25" s="66"/>
      <c r="T25" s="66"/>
      <c r="U25" s="66"/>
      <c r="V25" s="350" t="s">
        <v>2</v>
      </c>
      <c r="W25" s="351">
        <v>91999904</v>
      </c>
      <c r="X25" s="352" t="s">
        <v>509</v>
      </c>
      <c r="Y25" s="352" t="s">
        <v>506</v>
      </c>
      <c r="Z25" s="353" t="s">
        <v>507</v>
      </c>
      <c r="AA25" s="354">
        <v>8000000</v>
      </c>
      <c r="AB25" s="352"/>
      <c r="AC25" s="355"/>
    </row>
    <row r="26" spans="1:29">
      <c r="A26" s="407" t="s">
        <v>55</v>
      </c>
      <c r="B26" s="64"/>
      <c r="C26" s="65"/>
      <c r="D26" s="65"/>
      <c r="E26" s="66"/>
      <c r="F26" s="65"/>
      <c r="G26" s="65"/>
      <c r="H26" s="21"/>
      <c r="I26" s="65"/>
      <c r="J26" s="65"/>
      <c r="K26" s="66"/>
      <c r="L26" s="66"/>
      <c r="M26" s="66"/>
      <c r="N26" s="66"/>
      <c r="O26" s="376"/>
      <c r="P26" s="376"/>
      <c r="Q26" s="66"/>
      <c r="R26" s="66"/>
      <c r="S26" s="66"/>
      <c r="T26" s="66"/>
      <c r="U26" s="66"/>
      <c r="V26" s="350" t="s">
        <v>2</v>
      </c>
      <c r="W26" s="351">
        <v>91999905</v>
      </c>
      <c r="X26" s="352" t="s">
        <v>505</v>
      </c>
      <c r="Y26" s="352" t="s">
        <v>506</v>
      </c>
      <c r="Z26" s="353" t="s">
        <v>507</v>
      </c>
      <c r="AA26" s="354">
        <v>8000000</v>
      </c>
      <c r="AB26" s="352"/>
      <c r="AC26" s="355"/>
    </row>
    <row r="27" spans="1:29">
      <c r="A27" s="436" t="s">
        <v>477</v>
      </c>
      <c r="B27" s="326">
        <f t="shared" ref="B27:O27" si="5">ROUND(B149*B95,0)</f>
        <v>7000000</v>
      </c>
      <c r="C27" s="326">
        <f t="shared" si="5"/>
        <v>5580000</v>
      </c>
      <c r="D27" s="326">
        <f t="shared" si="5"/>
        <v>0</v>
      </c>
      <c r="E27" s="326">
        <f t="shared" si="5"/>
        <v>11000000</v>
      </c>
      <c r="F27" s="326">
        <f t="shared" si="5"/>
        <v>12800000</v>
      </c>
      <c r="G27" s="326">
        <f t="shared" si="5"/>
        <v>74256000</v>
      </c>
      <c r="H27" s="326">
        <f t="shared" si="5"/>
        <v>56852250</v>
      </c>
      <c r="I27" s="326">
        <f t="shared" si="5"/>
        <v>66134250</v>
      </c>
      <c r="J27" s="326">
        <f t="shared" si="5"/>
        <v>33000000</v>
      </c>
      <c r="K27" s="326">
        <f t="shared" si="5"/>
        <v>10000000</v>
      </c>
      <c r="L27" s="326">
        <f t="shared" si="5"/>
        <v>11500000</v>
      </c>
      <c r="M27" s="326">
        <f t="shared" si="5"/>
        <v>7000000</v>
      </c>
      <c r="N27" s="326">
        <f t="shared" si="5"/>
        <v>8000000</v>
      </c>
      <c r="O27" s="326">
        <f t="shared" si="5"/>
        <v>4500000</v>
      </c>
      <c r="P27" s="338">
        <f t="shared" ref="P27:P33" si="6">SUM(B27:O27)</f>
        <v>307622500</v>
      </c>
      <c r="Q27" s="89" t="s">
        <v>523</v>
      </c>
      <c r="R27" s="89" t="s">
        <v>523</v>
      </c>
      <c r="S27" s="89" t="s">
        <v>523</v>
      </c>
      <c r="T27" s="89" t="s">
        <v>523</v>
      </c>
      <c r="U27" s="89" t="s">
        <v>523</v>
      </c>
      <c r="V27" s="350" t="s">
        <v>2</v>
      </c>
      <c r="W27" s="351">
        <v>91999906</v>
      </c>
      <c r="X27" s="352" t="s">
        <v>505</v>
      </c>
      <c r="Y27" s="352" t="s">
        <v>506</v>
      </c>
      <c r="Z27" s="353" t="s">
        <v>507</v>
      </c>
      <c r="AA27" s="354">
        <v>8000000</v>
      </c>
      <c r="AB27" s="352"/>
      <c r="AC27" s="355"/>
    </row>
    <row r="28" spans="1:29">
      <c r="A28" s="452" t="s">
        <v>728</v>
      </c>
      <c r="B28" s="431"/>
      <c r="C28" s="431"/>
      <c r="D28" s="431"/>
      <c r="E28" s="431"/>
      <c r="F28" s="431"/>
      <c r="G28" s="431"/>
      <c r="H28" s="431"/>
      <c r="I28" s="431"/>
      <c r="J28" s="431"/>
      <c r="K28" s="431"/>
      <c r="L28" s="431"/>
      <c r="M28" s="431"/>
      <c r="N28" s="431">
        <f>ROUND(N131*N96,0)-ROUND(N132*N96,0)</f>
        <v>300000</v>
      </c>
      <c r="O28" s="431"/>
      <c r="P28" s="495">
        <f t="shared" si="6"/>
        <v>300000</v>
      </c>
      <c r="Q28" s="428" t="s">
        <v>523</v>
      </c>
      <c r="R28" s="428" t="s">
        <v>523</v>
      </c>
      <c r="S28" s="428" t="s">
        <v>523</v>
      </c>
      <c r="T28" s="428" t="s">
        <v>523</v>
      </c>
      <c r="U28" s="428" t="s">
        <v>523</v>
      </c>
      <c r="V28" s="350" t="s">
        <v>2</v>
      </c>
      <c r="W28" s="351">
        <v>91999907</v>
      </c>
      <c r="X28" s="352" t="s">
        <v>505</v>
      </c>
      <c r="Y28" s="352" t="s">
        <v>506</v>
      </c>
      <c r="Z28" s="353" t="s">
        <v>535</v>
      </c>
      <c r="AA28" s="354">
        <v>7000000</v>
      </c>
      <c r="AB28" s="352"/>
      <c r="AC28" s="355"/>
    </row>
    <row r="29" spans="1:29">
      <c r="A29" s="442" t="s">
        <v>494</v>
      </c>
      <c r="B29" s="326">
        <f t="shared" ref="B29:O29" si="7">ROUND(B134*B95,0)</f>
        <v>700000</v>
      </c>
      <c r="C29" s="326">
        <f t="shared" si="7"/>
        <v>558000</v>
      </c>
      <c r="D29" s="326">
        <f t="shared" si="7"/>
        <v>0</v>
      </c>
      <c r="E29" s="326">
        <f t="shared" si="7"/>
        <v>0</v>
      </c>
      <c r="F29" s="326">
        <f t="shared" si="7"/>
        <v>0</v>
      </c>
      <c r="G29" s="326">
        <f t="shared" si="7"/>
        <v>0</v>
      </c>
      <c r="H29" s="326">
        <f t="shared" si="7"/>
        <v>6381375</v>
      </c>
      <c r="I29" s="326">
        <f t="shared" si="7"/>
        <v>0</v>
      </c>
      <c r="J29" s="326">
        <f t="shared" si="7"/>
        <v>3300000</v>
      </c>
      <c r="K29" s="326">
        <f t="shared" si="7"/>
        <v>1000000</v>
      </c>
      <c r="L29" s="326">
        <f t="shared" si="7"/>
        <v>0</v>
      </c>
      <c r="M29" s="326">
        <f t="shared" si="7"/>
        <v>1400000</v>
      </c>
      <c r="N29" s="326">
        <f t="shared" si="7"/>
        <v>1200000</v>
      </c>
      <c r="O29" s="326">
        <f t="shared" si="7"/>
        <v>0</v>
      </c>
      <c r="P29" s="338">
        <f t="shared" si="6"/>
        <v>14539375</v>
      </c>
      <c r="Q29" s="373" t="s">
        <v>523</v>
      </c>
      <c r="R29" s="373" t="s">
        <v>523</v>
      </c>
      <c r="S29" s="373" t="s">
        <v>523</v>
      </c>
      <c r="T29" s="373" t="s">
        <v>523</v>
      </c>
      <c r="U29" s="89" t="s">
        <v>523</v>
      </c>
      <c r="V29" s="350" t="s">
        <v>1332</v>
      </c>
      <c r="W29" s="351">
        <v>91999906</v>
      </c>
      <c r="X29" s="352" t="s">
        <v>692</v>
      </c>
      <c r="Y29" s="352" t="s">
        <v>1154</v>
      </c>
      <c r="Z29" s="353">
        <v>7065</v>
      </c>
      <c r="AA29" s="354">
        <v>100</v>
      </c>
      <c r="AB29" s="352" t="s">
        <v>1329</v>
      </c>
      <c r="AC29" s="355"/>
    </row>
    <row r="30" spans="1:29">
      <c r="A30" s="454" t="s">
        <v>732</v>
      </c>
      <c r="B30" s="431"/>
      <c r="C30" s="431"/>
      <c r="D30" s="431"/>
      <c r="E30" s="431"/>
      <c r="F30" s="431"/>
      <c r="G30" s="431"/>
      <c r="H30" s="431"/>
      <c r="I30" s="431"/>
      <c r="J30" s="431"/>
      <c r="K30" s="431"/>
      <c r="L30" s="431"/>
      <c r="M30" s="431"/>
      <c r="N30" s="431">
        <f>ROUND(N134*N96,0)-ROUND(N135*N96,0)</f>
        <v>40000</v>
      </c>
      <c r="O30" s="431"/>
      <c r="P30" s="495">
        <f t="shared" si="6"/>
        <v>40000</v>
      </c>
      <c r="Q30" s="437" t="s">
        <v>523</v>
      </c>
      <c r="R30" s="437" t="s">
        <v>523</v>
      </c>
      <c r="S30" s="437" t="s">
        <v>523</v>
      </c>
      <c r="T30" s="437" t="s">
        <v>523</v>
      </c>
      <c r="U30" s="428" t="s">
        <v>523</v>
      </c>
      <c r="V30" s="350" t="s">
        <v>2</v>
      </c>
      <c r="W30" s="351">
        <v>91999907</v>
      </c>
      <c r="X30" s="352" t="s">
        <v>596</v>
      </c>
      <c r="Y30" s="352" t="s">
        <v>506</v>
      </c>
      <c r="Z30" s="353">
        <v>7065</v>
      </c>
      <c r="AA30" s="354">
        <v>100</v>
      </c>
      <c r="AB30" s="438" t="s">
        <v>539</v>
      </c>
      <c r="AC30" s="439"/>
    </row>
    <row r="31" spans="1:29">
      <c r="A31" s="442" t="s">
        <v>566</v>
      </c>
      <c r="B31" s="326">
        <f t="shared" ref="B31:O31" si="8">ROUND(B136*B95,0)</f>
        <v>1400000</v>
      </c>
      <c r="C31" s="326">
        <f t="shared" si="8"/>
        <v>1116000</v>
      </c>
      <c r="D31" s="326">
        <f t="shared" si="8"/>
        <v>0</v>
      </c>
      <c r="E31" s="326">
        <f t="shared" si="8"/>
        <v>0</v>
      </c>
      <c r="F31" s="326">
        <f t="shared" si="8"/>
        <v>0</v>
      </c>
      <c r="G31" s="326">
        <f t="shared" si="8"/>
        <v>0</v>
      </c>
      <c r="H31" s="326">
        <f t="shared" si="8"/>
        <v>12762750</v>
      </c>
      <c r="I31" s="326">
        <f t="shared" si="8"/>
        <v>0</v>
      </c>
      <c r="J31" s="326">
        <f t="shared" si="8"/>
        <v>6600000</v>
      </c>
      <c r="K31" s="326">
        <f t="shared" si="8"/>
        <v>2000000</v>
      </c>
      <c r="L31" s="326">
        <f t="shared" si="8"/>
        <v>0</v>
      </c>
      <c r="M31" s="326">
        <f t="shared" si="8"/>
        <v>2100000</v>
      </c>
      <c r="N31" s="326">
        <f t="shared" si="8"/>
        <v>1650000</v>
      </c>
      <c r="O31" s="326">
        <f t="shared" si="8"/>
        <v>0</v>
      </c>
      <c r="P31" s="338">
        <f t="shared" si="6"/>
        <v>27628750</v>
      </c>
      <c r="Q31" s="373" t="s">
        <v>523</v>
      </c>
      <c r="R31" s="373" t="s">
        <v>523</v>
      </c>
      <c r="S31" s="373" t="s">
        <v>523</v>
      </c>
      <c r="T31" s="373" t="s">
        <v>523</v>
      </c>
      <c r="U31" s="89" t="s">
        <v>523</v>
      </c>
      <c r="V31" s="350" t="s">
        <v>2</v>
      </c>
      <c r="W31" s="351">
        <v>91999908</v>
      </c>
      <c r="X31" s="352" t="s">
        <v>505</v>
      </c>
      <c r="Y31" s="352" t="s">
        <v>506</v>
      </c>
      <c r="Z31" s="353">
        <v>7065</v>
      </c>
      <c r="AA31" s="354">
        <v>100</v>
      </c>
      <c r="AB31" s="438" t="s">
        <v>539</v>
      </c>
      <c r="AC31" s="439"/>
    </row>
    <row r="32" spans="1:29">
      <c r="A32" s="454" t="s">
        <v>735</v>
      </c>
      <c r="B32" s="431"/>
      <c r="C32" s="431"/>
      <c r="D32" s="431"/>
      <c r="E32" s="431"/>
      <c r="F32" s="431"/>
      <c r="G32" s="431"/>
      <c r="H32" s="431"/>
      <c r="I32" s="431"/>
      <c r="J32" s="431"/>
      <c r="K32" s="431"/>
      <c r="L32" s="431"/>
      <c r="M32" s="431"/>
      <c r="N32" s="431">
        <f>ROUND(N136*N96,0)-ROUND(N137*N96,0)</f>
        <v>30000</v>
      </c>
      <c r="O32" s="431"/>
      <c r="P32" s="495">
        <f t="shared" si="6"/>
        <v>30000</v>
      </c>
      <c r="Q32" s="437" t="s">
        <v>523</v>
      </c>
      <c r="R32" s="437" t="s">
        <v>523</v>
      </c>
      <c r="S32" s="437" t="s">
        <v>523</v>
      </c>
      <c r="T32" s="437" t="s">
        <v>523</v>
      </c>
      <c r="U32" s="428" t="s">
        <v>523</v>
      </c>
      <c r="V32" s="350" t="s">
        <v>1332</v>
      </c>
      <c r="W32" s="351">
        <v>91999906</v>
      </c>
      <c r="X32" s="352" t="s">
        <v>692</v>
      </c>
      <c r="Y32" s="352" t="s">
        <v>1154</v>
      </c>
      <c r="Z32" s="353">
        <v>7070</v>
      </c>
      <c r="AA32" s="354">
        <v>200</v>
      </c>
      <c r="AB32" s="352" t="s">
        <v>1329</v>
      </c>
      <c r="AC32" s="355"/>
    </row>
    <row r="33" spans="1:32">
      <c r="A33" s="436" t="s">
        <v>1127</v>
      </c>
      <c r="B33" s="326"/>
      <c r="C33" s="326"/>
      <c r="D33" s="326">
        <f>AA38</f>
        <v>6000000</v>
      </c>
      <c r="E33" s="334"/>
      <c r="F33" s="326"/>
      <c r="G33" s="326"/>
      <c r="H33" s="326"/>
      <c r="I33" s="326"/>
      <c r="J33" s="326"/>
      <c r="K33" s="334"/>
      <c r="L33" s="334"/>
      <c r="M33" s="334"/>
      <c r="N33" s="334"/>
      <c r="O33" s="334"/>
      <c r="P33" s="338">
        <f t="shared" si="6"/>
        <v>6000000</v>
      </c>
      <c r="Q33" s="373" t="s">
        <v>523</v>
      </c>
      <c r="R33" s="373" t="s">
        <v>523</v>
      </c>
      <c r="S33" s="373"/>
      <c r="T33" s="373"/>
      <c r="U33" s="373"/>
      <c r="V33" s="350" t="s">
        <v>2</v>
      </c>
      <c r="W33" s="351">
        <v>91999907</v>
      </c>
      <c r="X33" s="352" t="s">
        <v>596</v>
      </c>
      <c r="Y33" s="352" t="s">
        <v>506</v>
      </c>
      <c r="Z33" s="353">
        <v>7070</v>
      </c>
      <c r="AA33" s="354">
        <v>200</v>
      </c>
      <c r="AB33" s="438" t="s">
        <v>539</v>
      </c>
      <c r="AC33" s="439"/>
    </row>
    <row r="34" spans="1:32">
      <c r="A34" s="483" t="s">
        <v>1378</v>
      </c>
      <c r="B34" s="484">
        <f>B80</f>
        <v>80770</v>
      </c>
      <c r="C34" s="484"/>
      <c r="D34" s="484"/>
      <c r="E34" s="484">
        <f>E80</f>
        <v>450001</v>
      </c>
      <c r="F34" s="484"/>
      <c r="G34" s="484"/>
      <c r="H34" s="484"/>
      <c r="I34" s="484"/>
      <c r="J34" s="484"/>
      <c r="K34" s="484"/>
      <c r="L34" s="484"/>
      <c r="M34" s="484">
        <f>M80</f>
        <v>1096160</v>
      </c>
      <c r="N34" s="484">
        <f>N80</f>
        <v>259616</v>
      </c>
      <c r="O34" s="484"/>
      <c r="P34" s="657">
        <f>SUM(B34:O34)</f>
        <v>1886547</v>
      </c>
      <c r="Q34" s="501" t="s">
        <v>591</v>
      </c>
      <c r="R34" s="501" t="s">
        <v>591</v>
      </c>
      <c r="S34" s="502"/>
      <c r="T34" s="503"/>
      <c r="U34" s="503"/>
      <c r="V34" s="350" t="s">
        <v>2</v>
      </c>
      <c r="W34" s="351">
        <v>91999908</v>
      </c>
      <c r="X34" s="352" t="s">
        <v>505</v>
      </c>
      <c r="Y34" s="352" t="s">
        <v>506</v>
      </c>
      <c r="Z34" s="353">
        <v>7070</v>
      </c>
      <c r="AA34" s="354">
        <v>200</v>
      </c>
      <c r="AB34" s="438" t="s">
        <v>539</v>
      </c>
      <c r="AC34" s="439"/>
    </row>
    <row r="35" spans="1:32">
      <c r="A35" s="487" t="s">
        <v>1379</v>
      </c>
      <c r="B35" s="484">
        <f>B81</f>
        <v>40386</v>
      </c>
      <c r="C35" s="484"/>
      <c r="D35" s="484"/>
      <c r="E35" s="484">
        <f>E81</f>
        <v>95193</v>
      </c>
      <c r="F35" s="484"/>
      <c r="G35" s="484"/>
      <c r="H35" s="484"/>
      <c r="I35" s="484"/>
      <c r="J35" s="484"/>
      <c r="K35" s="484"/>
      <c r="L35" s="484"/>
      <c r="M35" s="484">
        <f>M81</f>
        <v>363474</v>
      </c>
      <c r="N35" s="484">
        <f>N81</f>
        <v>92308</v>
      </c>
      <c r="O35" s="484"/>
      <c r="P35" s="657">
        <f>SUM(B35:O35)</f>
        <v>591361</v>
      </c>
      <c r="Q35" s="501" t="s">
        <v>591</v>
      </c>
      <c r="R35" s="501"/>
      <c r="S35" s="502"/>
      <c r="T35" s="503"/>
      <c r="U35" s="503"/>
      <c r="V35" s="350" t="s">
        <v>2</v>
      </c>
      <c r="W35" s="351">
        <v>91999901</v>
      </c>
      <c r="X35" s="352" t="s">
        <v>505</v>
      </c>
      <c r="Y35" s="352" t="s">
        <v>506</v>
      </c>
      <c r="Z35" s="353">
        <v>9140</v>
      </c>
      <c r="AA35" s="354"/>
      <c r="AB35" s="438">
        <v>0.76</v>
      </c>
      <c r="AC35" s="439"/>
    </row>
    <row r="36" spans="1:32">
      <c r="A36" s="488" t="s">
        <v>1380</v>
      </c>
      <c r="B36" s="484"/>
      <c r="C36" s="484"/>
      <c r="D36" s="484"/>
      <c r="E36" s="484"/>
      <c r="F36" s="484"/>
      <c r="G36" s="484"/>
      <c r="H36" s="484"/>
      <c r="I36" s="484"/>
      <c r="J36" s="484"/>
      <c r="K36" s="484"/>
      <c r="L36" s="484"/>
      <c r="M36" s="484">
        <f>M82</f>
        <v>76732</v>
      </c>
      <c r="N36" s="484"/>
      <c r="O36" s="484"/>
      <c r="P36" s="657">
        <f>SUM(B36:O36)</f>
        <v>76732</v>
      </c>
      <c r="Q36" s="501" t="s">
        <v>591</v>
      </c>
      <c r="R36" s="501"/>
      <c r="S36" s="504"/>
      <c r="T36" s="504"/>
      <c r="U36" s="504"/>
      <c r="V36" s="350" t="s">
        <v>2</v>
      </c>
      <c r="W36" s="351">
        <v>91999907</v>
      </c>
      <c r="X36" s="352" t="s">
        <v>505</v>
      </c>
      <c r="Y36" s="352" t="s">
        <v>506</v>
      </c>
      <c r="Z36" s="353">
        <v>9140</v>
      </c>
      <c r="AA36" s="354"/>
      <c r="AB36" s="438">
        <v>0.56000000000000005</v>
      </c>
      <c r="AC36" s="439"/>
    </row>
    <row r="37" spans="1:32">
      <c r="A37" s="509" t="s">
        <v>1354</v>
      </c>
      <c r="B37" s="484"/>
      <c r="C37" s="484"/>
      <c r="D37" s="484"/>
      <c r="E37" s="484">
        <f>E83</f>
        <v>259615</v>
      </c>
      <c r="F37" s="484"/>
      <c r="G37" s="484"/>
      <c r="H37" s="484"/>
      <c r="I37" s="484"/>
      <c r="J37" s="484"/>
      <c r="K37" s="484"/>
      <c r="L37" s="484"/>
      <c r="M37" s="484">
        <f>M83</f>
        <v>288460</v>
      </c>
      <c r="N37" s="484"/>
      <c r="O37" s="484"/>
      <c r="P37" s="657">
        <f>SUM(B37:O37)</f>
        <v>548075</v>
      </c>
      <c r="Q37" s="501" t="s">
        <v>591</v>
      </c>
      <c r="R37" s="501"/>
      <c r="S37" s="504"/>
      <c r="T37" s="504"/>
      <c r="U37" s="504"/>
      <c r="V37" s="350" t="s">
        <v>747</v>
      </c>
      <c r="W37" s="351">
        <v>91999905</v>
      </c>
      <c r="X37" s="352" t="s">
        <v>505</v>
      </c>
      <c r="Y37" s="352" t="s">
        <v>506</v>
      </c>
      <c r="Z37" s="353" t="s">
        <v>641</v>
      </c>
      <c r="AA37" s="354"/>
      <c r="AB37" s="438">
        <v>1</v>
      </c>
      <c r="AC37" s="439"/>
    </row>
    <row r="38" spans="1:32">
      <c r="A38" s="487" t="s">
        <v>1356</v>
      </c>
      <c r="B38" s="484"/>
      <c r="C38" s="484"/>
      <c r="D38" s="484"/>
      <c r="E38" s="484"/>
      <c r="F38" s="484"/>
      <c r="G38" s="484"/>
      <c r="H38" s="484"/>
      <c r="I38" s="484"/>
      <c r="J38" s="484"/>
      <c r="K38" s="484"/>
      <c r="L38" s="484"/>
      <c r="M38" s="484"/>
      <c r="N38" s="484">
        <f>N84</f>
        <v>120000</v>
      </c>
      <c r="O38" s="484"/>
      <c r="P38" s="657">
        <f>SUM(B38:O38)</f>
        <v>120000</v>
      </c>
      <c r="Q38" s="501" t="s">
        <v>591</v>
      </c>
      <c r="R38" s="501"/>
      <c r="S38" s="503"/>
      <c r="T38" s="503"/>
      <c r="U38" s="503"/>
      <c r="V38" s="505" t="s">
        <v>1128</v>
      </c>
      <c r="W38" s="604">
        <v>91999903</v>
      </c>
      <c r="X38" s="545" t="s">
        <v>1129</v>
      </c>
      <c r="Y38" s="545" t="s">
        <v>1129</v>
      </c>
      <c r="Z38" s="544">
        <v>3200</v>
      </c>
      <c r="AA38" s="362">
        <v>6000000</v>
      </c>
      <c r="AB38" s="284"/>
      <c r="AC38" s="467"/>
    </row>
    <row r="39" spans="1:32">
      <c r="A39" s="405"/>
      <c r="B39" s="325"/>
      <c r="C39" s="326"/>
      <c r="D39" s="326"/>
      <c r="E39" s="326"/>
      <c r="F39" s="326"/>
      <c r="G39" s="326"/>
      <c r="H39" s="326"/>
      <c r="I39" s="326"/>
      <c r="J39" s="326"/>
      <c r="K39" s="326"/>
      <c r="L39" s="326"/>
      <c r="M39" s="326"/>
      <c r="N39" s="326"/>
      <c r="O39" s="326"/>
      <c r="P39" s="338"/>
      <c r="V39" s="496" t="s">
        <v>1398</v>
      </c>
      <c r="W39" s="500">
        <v>91999913</v>
      </c>
      <c r="X39" s="435" t="s">
        <v>1399</v>
      </c>
      <c r="Y39" s="435" t="s">
        <v>1400</v>
      </c>
      <c r="Z39" s="616">
        <v>1000</v>
      </c>
      <c r="AA39" s="431">
        <v>8000000</v>
      </c>
      <c r="AB39" s="498"/>
      <c r="AC39" s="499"/>
    </row>
    <row r="40" spans="1:32">
      <c r="A40" s="510" t="s">
        <v>569</v>
      </c>
      <c r="B40" s="326"/>
      <c r="C40" s="326"/>
      <c r="D40" s="326"/>
      <c r="E40" s="334"/>
      <c r="F40" s="326"/>
      <c r="G40" s="326"/>
      <c r="H40" s="326"/>
      <c r="I40" s="326"/>
      <c r="J40" s="326"/>
      <c r="K40" s="334"/>
      <c r="L40" s="334"/>
      <c r="M40" s="334"/>
      <c r="N40" s="334"/>
      <c r="O40" s="334"/>
      <c r="P40" s="338"/>
      <c r="Q40" s="373"/>
      <c r="R40" s="373"/>
      <c r="S40" s="373"/>
      <c r="T40" s="373"/>
      <c r="U40" s="373"/>
      <c r="V40" s="496" t="s">
        <v>1398</v>
      </c>
      <c r="W40" s="500">
        <v>91999913</v>
      </c>
      <c r="X40" s="435" t="s">
        <v>1399</v>
      </c>
      <c r="Y40" s="435" t="s">
        <v>1400</v>
      </c>
      <c r="Z40" s="616">
        <v>1100</v>
      </c>
      <c r="AA40" s="431">
        <v>1200000</v>
      </c>
      <c r="AB40" s="498"/>
      <c r="AC40" s="499"/>
      <c r="AD40" s="287"/>
      <c r="AE40" s="287"/>
    </row>
    <row r="41" spans="1:32">
      <c r="A41" s="436" t="s">
        <v>532</v>
      </c>
      <c r="B41" s="326">
        <f>IF(OR(B21="A",B21="B"),ROUND(ROUND(2369796*B22*B18*IF(B20&lt;3,0,IF(B20&lt;6,50%,100%)),0)*B14/365,0),ROUND(ROUND(2466.55*$B$4,0)*B18*B14*B22/365,0))</f>
        <v>201270</v>
      </c>
      <c r="C41" s="326">
        <f t="shared" ref="C41:H41" si="9">IF(OR(C21="A",C21="B"),ROUND(ROUND(2369796*C22*C18*IF(C20&lt;3,0,IF(C20&lt;6,50%,100%)),0)*C14/365,0),ROUND(ROUND(2466.55*$B$4,0)*C18*C14*C22/365,0))</f>
        <v>362287</v>
      </c>
      <c r="D41" s="326"/>
      <c r="E41" s="326">
        <f t="shared" si="9"/>
        <v>301906</v>
      </c>
      <c r="F41" s="326"/>
      <c r="G41" s="326"/>
      <c r="H41" s="326">
        <f t="shared" si="9"/>
        <v>4861165</v>
      </c>
      <c r="I41" s="326"/>
      <c r="J41" s="326"/>
      <c r="K41" s="326"/>
      <c r="L41" s="326"/>
      <c r="M41" s="326"/>
      <c r="N41" s="326"/>
      <c r="O41" s="326"/>
      <c r="P41" s="339">
        <f>SUM(B41:O41)</f>
        <v>5726628</v>
      </c>
      <c r="Q41" s="373"/>
      <c r="R41" s="373" t="s">
        <v>591</v>
      </c>
      <c r="S41" s="373"/>
      <c r="T41" s="373"/>
      <c r="U41" s="373"/>
      <c r="V41" s="496" t="s">
        <v>1398</v>
      </c>
      <c r="W41" s="500">
        <v>91999913</v>
      </c>
      <c r="X41" s="435" t="s">
        <v>1399</v>
      </c>
      <c r="Y41" s="435" t="s">
        <v>1400</v>
      </c>
      <c r="Z41" s="616">
        <v>1102</v>
      </c>
      <c r="AA41" s="431">
        <v>1650000</v>
      </c>
      <c r="AB41" s="498"/>
      <c r="AC41" s="499"/>
    </row>
    <row r="42" spans="1:32">
      <c r="A42" s="405"/>
      <c r="B42" s="325"/>
      <c r="C42" s="326"/>
      <c r="D42" s="326"/>
      <c r="E42" s="334"/>
      <c r="F42" s="362"/>
      <c r="G42" s="362"/>
      <c r="H42" s="362"/>
      <c r="I42" s="362"/>
      <c r="J42" s="362"/>
      <c r="K42" s="334"/>
      <c r="L42" s="334"/>
      <c r="M42" s="334"/>
      <c r="N42" s="334"/>
      <c r="O42" s="334"/>
      <c r="P42" s="338"/>
      <c r="Q42" s="373"/>
      <c r="R42" s="373"/>
      <c r="S42" s="373"/>
      <c r="T42" s="373"/>
      <c r="U42" s="373"/>
      <c r="V42" s="32"/>
      <c r="W42" s="44"/>
      <c r="X42" s="13"/>
      <c r="Y42" s="13"/>
      <c r="Z42" s="13"/>
      <c r="AA42" s="356"/>
      <c r="AB42" s="13"/>
      <c r="AC42" s="18"/>
    </row>
    <row r="43" spans="1:32">
      <c r="A43" s="441" t="s">
        <v>61</v>
      </c>
      <c r="B43" s="359">
        <f t="shared" ref="B43:O43" si="10">SUM(B27:B39)</f>
        <v>9221156</v>
      </c>
      <c r="C43" s="360">
        <f t="shared" si="10"/>
        <v>7254000</v>
      </c>
      <c r="D43" s="360">
        <f t="shared" si="10"/>
        <v>6000000</v>
      </c>
      <c r="E43" s="360">
        <f t="shared" si="10"/>
        <v>11804809</v>
      </c>
      <c r="F43" s="360">
        <f t="shared" si="10"/>
        <v>12800000</v>
      </c>
      <c r="G43" s="360">
        <f t="shared" si="10"/>
        <v>74256000</v>
      </c>
      <c r="H43" s="360">
        <f t="shared" si="10"/>
        <v>75996375</v>
      </c>
      <c r="I43" s="360">
        <f t="shared" si="10"/>
        <v>66134250</v>
      </c>
      <c r="J43" s="360">
        <f t="shared" si="10"/>
        <v>42900000</v>
      </c>
      <c r="K43" s="360">
        <f t="shared" si="10"/>
        <v>13000000</v>
      </c>
      <c r="L43" s="360">
        <f t="shared" si="10"/>
        <v>11500000</v>
      </c>
      <c r="M43" s="360">
        <f t="shared" si="10"/>
        <v>12324826</v>
      </c>
      <c r="N43" s="480">
        <f t="shared" si="10"/>
        <v>11691924</v>
      </c>
      <c r="O43" s="481">
        <f t="shared" si="10"/>
        <v>4500000</v>
      </c>
      <c r="P43" s="349">
        <f>SUM(B43:O43)</f>
        <v>359383340</v>
      </c>
      <c r="Q43" s="373"/>
      <c r="R43" s="373"/>
      <c r="S43" s="373"/>
      <c r="T43" s="373"/>
      <c r="U43" s="373"/>
      <c r="V43" s="32"/>
      <c r="W43" s="44"/>
      <c r="X43" s="13"/>
      <c r="Y43" s="13"/>
      <c r="Z43" s="13"/>
      <c r="AA43" s="356"/>
      <c r="AB43" s="13"/>
      <c r="AC43" s="18"/>
      <c r="AE43" s="287"/>
    </row>
    <row r="44" spans="1:32">
      <c r="A44" s="411"/>
      <c r="B44" s="325"/>
      <c r="C44" s="326"/>
      <c r="D44" s="326"/>
      <c r="E44" s="334"/>
      <c r="F44" s="326"/>
      <c r="G44" s="326"/>
      <c r="H44" s="326"/>
      <c r="I44" s="326"/>
      <c r="J44" s="326"/>
      <c r="K44" s="334"/>
      <c r="L44" s="334"/>
      <c r="M44" s="334"/>
      <c r="N44" s="334"/>
      <c r="O44" s="395"/>
      <c r="P44" s="349"/>
      <c r="Q44" s="373"/>
      <c r="R44" s="373"/>
      <c r="S44" s="373"/>
      <c r="T44" s="373"/>
      <c r="U44" s="373"/>
      <c r="V44" s="42"/>
      <c r="W44" s="43"/>
      <c r="X44" s="13"/>
      <c r="Y44" s="13"/>
      <c r="Z44" s="61"/>
      <c r="AA44" s="356"/>
      <c r="AB44" s="13"/>
      <c r="AC44" s="18"/>
      <c r="AE44" s="287"/>
    </row>
    <row r="45" spans="1:32" ht="15.6">
      <c r="A45" s="412" t="s">
        <v>60</v>
      </c>
      <c r="B45" s="363"/>
      <c r="C45" s="356"/>
      <c r="D45" s="356"/>
      <c r="E45" s="364"/>
      <c r="F45" s="356"/>
      <c r="G45" s="356"/>
      <c r="H45" s="356"/>
      <c r="I45" s="356"/>
      <c r="J45" s="356"/>
      <c r="K45" s="364"/>
      <c r="L45" s="364"/>
      <c r="M45" s="364"/>
      <c r="N45" s="364"/>
      <c r="O45" s="377"/>
      <c r="P45" s="349"/>
      <c r="Q45" s="373"/>
      <c r="R45" s="373"/>
      <c r="S45" s="373"/>
      <c r="T45" s="373"/>
      <c r="U45" s="373"/>
      <c r="V45" s="24" t="s">
        <v>57</v>
      </c>
      <c r="W45" s="37" t="s">
        <v>67</v>
      </c>
      <c r="X45" s="37" t="s">
        <v>69</v>
      </c>
      <c r="Y45" s="37" t="s">
        <v>70</v>
      </c>
      <c r="Z45" s="62" t="s">
        <v>424</v>
      </c>
      <c r="AA45" s="357" t="s">
        <v>425</v>
      </c>
      <c r="AB45" s="37" t="s">
        <v>56</v>
      </c>
      <c r="AC45" s="38"/>
      <c r="AE45" s="287"/>
    </row>
    <row r="46" spans="1:32">
      <c r="A46" s="407" t="s">
        <v>55</v>
      </c>
      <c r="B46" s="363"/>
      <c r="C46" s="356"/>
      <c r="D46" s="356"/>
      <c r="E46" s="364"/>
      <c r="F46" s="356"/>
      <c r="G46" s="356"/>
      <c r="H46" s="356"/>
      <c r="I46" s="356"/>
      <c r="J46" s="356"/>
      <c r="K46" s="364"/>
      <c r="L46" s="364"/>
      <c r="M46" s="364"/>
      <c r="N46" s="364"/>
      <c r="O46" s="364"/>
      <c r="P46" s="338"/>
      <c r="Q46" s="373"/>
      <c r="R46" s="373"/>
      <c r="S46" s="373"/>
      <c r="T46" s="373"/>
      <c r="U46" s="373"/>
      <c r="V46" s="496" t="s">
        <v>422</v>
      </c>
      <c r="W46" s="500">
        <v>91999901</v>
      </c>
      <c r="X46" s="435" t="s">
        <v>736</v>
      </c>
      <c r="Y46" s="435" t="s">
        <v>736</v>
      </c>
      <c r="Z46" s="497">
        <v>0.70833333333333337</v>
      </c>
      <c r="AA46" s="497">
        <v>0.79166666666666663</v>
      </c>
      <c r="AB46" s="498">
        <v>9000</v>
      </c>
      <c r="AC46" s="499">
        <v>2</v>
      </c>
      <c r="AD46" s="287">
        <v>2</v>
      </c>
      <c r="AE46" s="287"/>
      <c r="AF46" s="643"/>
    </row>
    <row r="47" spans="1:32">
      <c r="A47" s="417" t="s">
        <v>573</v>
      </c>
      <c r="B47" s="326">
        <f>ROUND(B105*'New Hire'!C54,0)</f>
        <v>728000</v>
      </c>
      <c r="C47" s="326">
        <f>ROUND(C105*'New Hire'!D54,0)</f>
        <v>580320</v>
      </c>
      <c r="D47" s="326">
        <v>0</v>
      </c>
      <c r="E47" s="326">
        <f>ROUND(E105*'New Hire'!F54,0)</f>
        <v>880000</v>
      </c>
      <c r="F47" s="326">
        <f>ROUND(F105*'New Hire'!G54,0)</f>
        <v>0</v>
      </c>
      <c r="G47" s="326">
        <f>ROUND(G105*'New Hire'!H54,0)</f>
        <v>0</v>
      </c>
      <c r="H47" s="326">
        <f>ROUND(H105*'New Hire'!I54,0)</f>
        <v>0</v>
      </c>
      <c r="I47" s="326">
        <f>ROUND(I105*'New Hire'!J54,0)</f>
        <v>0</v>
      </c>
      <c r="J47" s="326">
        <f>ROUND(J105*'New Hire'!K54,0)</f>
        <v>2384000</v>
      </c>
      <c r="K47" s="326">
        <f>ROUND(K105*'New Hire'!L54,0)</f>
        <v>0</v>
      </c>
      <c r="L47" s="326">
        <f>ROUND(L105*'New Hire'!M54,0)</f>
        <v>920000</v>
      </c>
      <c r="M47" s="326">
        <f>ROUND(M105*'New Hire'!N54,0)</f>
        <v>0</v>
      </c>
      <c r="N47" s="326">
        <f>ROUND(N105*'New Hire'!O54,0)</f>
        <v>0</v>
      </c>
      <c r="O47" s="326">
        <f>ROUND(O105*'New Hire'!P54,0)</f>
        <v>0</v>
      </c>
      <c r="P47" s="338">
        <f t="shared" ref="P47:P54" si="11">SUM(B47:O47)</f>
        <v>5492320</v>
      </c>
      <c r="Q47" s="373"/>
      <c r="R47" s="373"/>
      <c r="S47" s="373"/>
      <c r="T47" s="373"/>
      <c r="U47" s="373"/>
      <c r="V47" s="496" t="s">
        <v>422</v>
      </c>
      <c r="W47" s="500">
        <v>91999904</v>
      </c>
      <c r="X47" s="435" t="s">
        <v>737</v>
      </c>
      <c r="Y47" s="435" t="s">
        <v>737</v>
      </c>
      <c r="Z47" s="497">
        <v>0.5</v>
      </c>
      <c r="AA47" s="497">
        <v>0.70833333333333337</v>
      </c>
      <c r="AB47" s="498">
        <v>9000</v>
      </c>
      <c r="AC47" s="499">
        <v>5</v>
      </c>
      <c r="AD47" s="287">
        <v>5</v>
      </c>
      <c r="AE47" s="287"/>
      <c r="AF47" s="643" t="s">
        <v>1401</v>
      </c>
    </row>
    <row r="48" spans="1:32">
      <c r="A48" s="436" t="s">
        <v>574</v>
      </c>
      <c r="B48" s="326">
        <f>ROUND(MIN(B106,83600000)*'New Hire'!C57,0)</f>
        <v>91000</v>
      </c>
      <c r="C48" s="326">
        <f>ROUND(MIN(C106,83600000)*'New Hire'!D57,0)</f>
        <v>72540</v>
      </c>
      <c r="D48" s="326">
        <v>0</v>
      </c>
      <c r="E48" s="326">
        <f>ROUND(MIN(E106,83600000)*'New Hire'!F57,0)</f>
        <v>110000</v>
      </c>
      <c r="F48" s="326">
        <f>ROUND(MIN(F106,83600000)*'New Hire'!G57,0)</f>
        <v>0</v>
      </c>
      <c r="G48" s="326">
        <f>ROUND(MIN(G106,83600000)*'New Hire'!H57,0)</f>
        <v>0</v>
      </c>
      <c r="H48" s="326">
        <f>ROUND(MIN(H106,83600000)*'New Hire'!I57,0)</f>
        <v>0</v>
      </c>
      <c r="I48" s="326">
        <f>ROUND(MIN(I106,83600000)*'New Hire'!J57,0)</f>
        <v>0</v>
      </c>
      <c r="J48" s="326">
        <f>ROUND(MIN(J106,83600000)*'New Hire'!K57,0)</f>
        <v>429000</v>
      </c>
      <c r="K48" s="326">
        <f>ROUND(MIN(K106,83600000)*'New Hire'!L57,0)</f>
        <v>0</v>
      </c>
      <c r="L48" s="326">
        <f>ROUND(MIN(L106,83600000)*'New Hire'!M57,0)</f>
        <v>115000</v>
      </c>
      <c r="M48" s="326">
        <f>ROUND(MIN(M106,83600000)*'New Hire'!N57,0)</f>
        <v>0</v>
      </c>
      <c r="N48" s="326">
        <f>ROUND(MIN(N106,83600000)*'New Hire'!O57,0)</f>
        <v>0</v>
      </c>
      <c r="O48" s="326">
        <f>ROUND(MIN(O106,83600000)*'New Hire'!P57,0)</f>
        <v>0</v>
      </c>
      <c r="P48" s="338">
        <f t="shared" si="11"/>
        <v>817540</v>
      </c>
      <c r="Q48" s="373"/>
      <c r="R48" s="373"/>
      <c r="S48" s="373"/>
      <c r="T48" s="373"/>
      <c r="U48" s="373"/>
      <c r="V48" s="496" t="s">
        <v>422</v>
      </c>
      <c r="W48" s="500">
        <v>91999904</v>
      </c>
      <c r="X48" s="435" t="s">
        <v>738</v>
      </c>
      <c r="Y48" s="435" t="s">
        <v>738</v>
      </c>
      <c r="Z48" s="497">
        <v>0.70833333333333337</v>
      </c>
      <c r="AA48" s="497">
        <v>0.83333333333333337</v>
      </c>
      <c r="AB48" s="498">
        <v>9000</v>
      </c>
      <c r="AC48" s="499">
        <v>3</v>
      </c>
      <c r="AD48" s="287">
        <v>3</v>
      </c>
      <c r="AE48" s="287"/>
    </row>
    <row r="49" spans="1:32">
      <c r="A49" s="436" t="s">
        <v>575</v>
      </c>
      <c r="B49" s="326">
        <f>ROUND(MIN(B$105,29800000)*'New Hire'!C60,0)</f>
        <v>136500</v>
      </c>
      <c r="C49" s="326">
        <f>ROUND(MIN(C$105,29800000)*'New Hire'!D60,0)</f>
        <v>108810</v>
      </c>
      <c r="D49" s="326">
        <v>0</v>
      </c>
      <c r="E49" s="326">
        <f>ROUND(MIN(E$105,29800000)*'New Hire'!F60,0)</f>
        <v>165000</v>
      </c>
      <c r="F49" s="326">
        <f>ROUND(MIN(F$105,29800000)*'New Hire'!G60,0)</f>
        <v>0</v>
      </c>
      <c r="G49" s="326">
        <f>ROUND(MIN(G$105,29800000)*'New Hire'!H60,0)</f>
        <v>447000</v>
      </c>
      <c r="H49" s="326">
        <f>ROUND(MIN(H$105,29800000)*'New Hire'!I60,0)</f>
        <v>447000</v>
      </c>
      <c r="I49" s="326">
        <f>ROUND(MIN(I$105,29800000)*'New Hire'!J60,0)</f>
        <v>447000</v>
      </c>
      <c r="J49" s="326">
        <f>ROUND(MIN(J$105,29800000)*'New Hire'!K60,0)</f>
        <v>447000</v>
      </c>
      <c r="K49" s="326">
        <f>ROUND(MIN(K$105,29800000)*'New Hire'!L60,0)</f>
        <v>0</v>
      </c>
      <c r="L49" s="326">
        <f>ROUND(MIN(L$105,29800000)*'New Hire'!M60,0)</f>
        <v>172500</v>
      </c>
      <c r="M49" s="326">
        <f>ROUND(MIN(M$105,29800000)*'New Hire'!N60,0)</f>
        <v>0</v>
      </c>
      <c r="N49" s="326">
        <f>ROUND(MIN(N$105,29800000)*'New Hire'!O60,0)</f>
        <v>0</v>
      </c>
      <c r="O49" s="326">
        <f>ROUND(MIN(O$105,29800000)*'New Hire'!P60,0)</f>
        <v>0</v>
      </c>
      <c r="P49" s="338">
        <f t="shared" si="11"/>
        <v>2370810</v>
      </c>
      <c r="Q49" s="373"/>
      <c r="R49" s="373"/>
      <c r="S49" s="373"/>
      <c r="T49" s="373"/>
      <c r="U49" s="373"/>
      <c r="V49" s="496" t="s">
        <v>422</v>
      </c>
      <c r="W49" s="500">
        <v>91999912</v>
      </c>
      <c r="X49" s="435" t="s">
        <v>739</v>
      </c>
      <c r="Y49" s="435" t="s">
        <v>739</v>
      </c>
      <c r="Z49" s="497">
        <v>0.33333333333333331</v>
      </c>
      <c r="AA49" s="497">
        <v>0.75</v>
      </c>
      <c r="AB49" s="498">
        <v>9000</v>
      </c>
      <c r="AC49" s="499">
        <v>10</v>
      </c>
      <c r="AD49" s="287">
        <v>10</v>
      </c>
      <c r="AE49" s="287"/>
      <c r="AF49" s="643" t="s">
        <v>1401</v>
      </c>
    </row>
    <row r="50" spans="1:32">
      <c r="A50" s="405" t="s">
        <v>111</v>
      </c>
      <c r="B50" s="325">
        <f>B112</f>
        <v>0</v>
      </c>
      <c r="C50" s="326">
        <f>C112</f>
        <v>0</v>
      </c>
      <c r="D50" s="326">
        <f t="shared" ref="D50:O50" si="12">D112</f>
        <v>0</v>
      </c>
      <c r="E50" s="326">
        <f t="shared" si="12"/>
        <v>1175191</v>
      </c>
      <c r="F50" s="326">
        <f t="shared" si="12"/>
        <v>1280000</v>
      </c>
      <c r="G50" s="326">
        <f t="shared" si="12"/>
        <v>13592700</v>
      </c>
      <c r="H50" s="326">
        <f t="shared" si="12"/>
        <v>16171508</v>
      </c>
      <c r="I50" s="326">
        <f t="shared" si="12"/>
        <v>13226850</v>
      </c>
      <c r="J50" s="326">
        <f t="shared" si="12"/>
        <v>4478000</v>
      </c>
      <c r="K50" s="326">
        <f t="shared" si="12"/>
        <v>200000</v>
      </c>
      <c r="L50" s="326">
        <f t="shared" si="12"/>
        <v>64625</v>
      </c>
      <c r="M50" s="326">
        <f t="shared" si="12"/>
        <v>129808</v>
      </c>
      <c r="N50" s="326">
        <f t="shared" si="12"/>
        <v>123981</v>
      </c>
      <c r="O50" s="326">
        <f t="shared" si="12"/>
        <v>450000</v>
      </c>
      <c r="P50" s="338">
        <f t="shared" si="11"/>
        <v>50892663</v>
      </c>
      <c r="Q50" s="373"/>
      <c r="R50" s="373"/>
      <c r="S50" s="373"/>
      <c r="T50" s="373"/>
      <c r="U50" s="373"/>
      <c r="V50" s="496" t="s">
        <v>422</v>
      </c>
      <c r="W50" s="500">
        <v>91999912</v>
      </c>
      <c r="X50" s="435" t="s">
        <v>736</v>
      </c>
      <c r="Y50" s="435" t="s">
        <v>736</v>
      </c>
      <c r="Z50" s="497">
        <v>0.70833333333333337</v>
      </c>
      <c r="AA50" s="497">
        <v>0.85416666666666663</v>
      </c>
      <c r="AB50" s="498">
        <v>9000</v>
      </c>
      <c r="AC50" s="499">
        <v>3.5</v>
      </c>
      <c r="AD50" s="287">
        <v>3.5</v>
      </c>
      <c r="AE50" s="287"/>
    </row>
    <row r="51" spans="1:32">
      <c r="A51" s="436" t="s">
        <v>512</v>
      </c>
      <c r="B51" s="326"/>
      <c r="C51" s="326"/>
      <c r="D51" s="326"/>
      <c r="E51" s="326"/>
      <c r="F51" s="326"/>
      <c r="G51" s="326"/>
      <c r="H51" s="326">
        <f>H100-H65</f>
        <v>339726</v>
      </c>
      <c r="I51" s="326"/>
      <c r="J51" s="326"/>
      <c r="K51" s="326"/>
      <c r="L51" s="326"/>
      <c r="M51" s="326"/>
      <c r="N51" s="326"/>
      <c r="O51" s="326"/>
      <c r="P51" s="338">
        <f t="shared" si="11"/>
        <v>339726</v>
      </c>
      <c r="Q51" s="373"/>
      <c r="R51" s="373"/>
      <c r="S51" s="373"/>
      <c r="T51" s="373"/>
      <c r="U51" s="373"/>
      <c r="V51" s="496" t="s">
        <v>422</v>
      </c>
      <c r="W51" s="500">
        <v>91999912</v>
      </c>
      <c r="X51" s="435" t="s">
        <v>740</v>
      </c>
      <c r="Y51" s="435" t="s">
        <v>740</v>
      </c>
      <c r="Z51" s="497">
        <v>0.70833333333333337</v>
      </c>
      <c r="AA51" s="497">
        <v>0.83333333333333337</v>
      </c>
      <c r="AB51" s="498">
        <v>9000</v>
      </c>
      <c r="AC51" s="499">
        <v>3</v>
      </c>
      <c r="AD51" s="287">
        <v>3</v>
      </c>
      <c r="AE51" s="287"/>
    </row>
    <row r="52" spans="1:32">
      <c r="A52" s="436" t="s">
        <v>533</v>
      </c>
      <c r="B52" s="326"/>
      <c r="C52" s="326">
        <f>IF(OR(C21="A",C21="B"),ROUND(2369796*C22*C18/365,0),ROUND(2466.55*$B$4*C22*C18/365,0))-C41</f>
        <v>40254</v>
      </c>
      <c r="D52" s="326"/>
      <c r="E52" s="326">
        <f>IF(OR(E21="A",E21="B"),ROUND(2369796*E22*E18/365,0),ROUND(2466.55*$B$4*E22*E18/365,0))-E41</f>
        <v>301905</v>
      </c>
      <c r="F52" s="326"/>
      <c r="G52" s="326"/>
      <c r="H52" s="326">
        <f>IF(OR(H21="A",H21="B"),ROUND(2369796*H22*H18/365,0),ROUND(2466.55*$B$4*H22*H18/365,0))-H41</f>
        <v>4861164</v>
      </c>
      <c r="I52" s="326"/>
      <c r="J52" s="326"/>
      <c r="K52" s="326"/>
      <c r="L52" s="326"/>
      <c r="M52" s="326"/>
      <c r="N52" s="326"/>
      <c r="O52" s="326"/>
      <c r="P52" s="339">
        <f t="shared" si="11"/>
        <v>5203323</v>
      </c>
      <c r="Q52" s="373"/>
      <c r="R52" s="373"/>
      <c r="S52" s="373"/>
      <c r="T52" s="373"/>
      <c r="U52" s="373"/>
      <c r="V52" s="496" t="s">
        <v>422</v>
      </c>
      <c r="W52" s="500">
        <v>91999912</v>
      </c>
      <c r="X52" s="435" t="s">
        <v>741</v>
      </c>
      <c r="Y52" s="435" t="s">
        <v>741</v>
      </c>
      <c r="Z52" s="497">
        <v>0.83333333333333337</v>
      </c>
      <c r="AA52" s="497">
        <v>0</v>
      </c>
      <c r="AB52" s="498">
        <v>9000</v>
      </c>
      <c r="AC52" s="499">
        <v>4</v>
      </c>
      <c r="AD52" s="287">
        <v>2</v>
      </c>
      <c r="AE52" s="287">
        <v>2</v>
      </c>
    </row>
    <row r="53" spans="1:32">
      <c r="A53" s="436" t="s">
        <v>536</v>
      </c>
      <c r="B53" s="326"/>
      <c r="C53" s="326"/>
      <c r="D53" s="326"/>
      <c r="E53" s="326"/>
      <c r="F53" s="326"/>
      <c r="G53" s="326"/>
      <c r="H53" s="326">
        <f>H101</f>
        <v>594521</v>
      </c>
      <c r="I53" s="326"/>
      <c r="J53" s="326"/>
      <c r="K53" s="326"/>
      <c r="L53" s="326"/>
      <c r="M53" s="326"/>
      <c r="N53" s="326"/>
      <c r="O53" s="326"/>
      <c r="P53" s="338">
        <f t="shared" si="11"/>
        <v>594521</v>
      </c>
      <c r="Q53" s="373"/>
      <c r="R53" s="373"/>
      <c r="S53" s="341"/>
      <c r="T53" s="341"/>
      <c r="U53" s="341"/>
      <c r="V53" s="496" t="s">
        <v>422</v>
      </c>
      <c r="W53" s="500">
        <v>91999912</v>
      </c>
      <c r="X53" s="435" t="s">
        <v>742</v>
      </c>
      <c r="Y53" s="435" t="s">
        <v>742</v>
      </c>
      <c r="Z53" s="497">
        <v>0.70833333333333337</v>
      </c>
      <c r="AA53" s="497">
        <v>0.8125</v>
      </c>
      <c r="AB53" s="498">
        <v>9000</v>
      </c>
      <c r="AC53" s="499">
        <v>2.5</v>
      </c>
      <c r="AD53" s="287">
        <v>2.5</v>
      </c>
      <c r="AE53" s="287"/>
    </row>
    <row r="54" spans="1:32">
      <c r="A54" s="436" t="s">
        <v>537</v>
      </c>
      <c r="B54" s="326"/>
      <c r="C54" s="326"/>
      <c r="D54" s="326"/>
      <c r="E54" s="326"/>
      <c r="F54" s="326"/>
      <c r="G54" s="326"/>
      <c r="H54" s="326">
        <f>ROUND(ROUND(297.1*$B$4,0)*H22*H18/365,0)</f>
        <v>1171071</v>
      </c>
      <c r="I54" s="326"/>
      <c r="J54" s="326"/>
      <c r="K54" s="326"/>
      <c r="L54" s="326"/>
      <c r="M54" s="326"/>
      <c r="N54" s="326"/>
      <c r="O54" s="326"/>
      <c r="P54" s="339">
        <f t="shared" si="11"/>
        <v>1171071</v>
      </c>
      <c r="Q54" s="341"/>
      <c r="R54" s="341"/>
      <c r="S54" s="341"/>
      <c r="T54" s="341"/>
      <c r="U54" s="341"/>
      <c r="V54" s="496" t="s">
        <v>422</v>
      </c>
      <c r="W54" s="500">
        <v>91999912</v>
      </c>
      <c r="X54" s="435" t="s">
        <v>743</v>
      </c>
      <c r="Y54" s="435" t="s">
        <v>743</v>
      </c>
      <c r="Z54" s="497">
        <v>0.70833333333333337</v>
      </c>
      <c r="AA54" s="497">
        <v>0.83333333333333337</v>
      </c>
      <c r="AB54" s="498">
        <v>9000</v>
      </c>
      <c r="AC54" s="499">
        <v>3</v>
      </c>
      <c r="AD54" s="287">
        <v>3</v>
      </c>
      <c r="AE54" s="287"/>
    </row>
    <row r="55" spans="1:32">
      <c r="A55" s="405"/>
      <c r="B55" s="365"/>
      <c r="C55" s="366"/>
      <c r="D55" s="366"/>
      <c r="E55" s="367"/>
      <c r="F55" s="366"/>
      <c r="G55" s="366"/>
      <c r="H55" s="366"/>
      <c r="I55" s="366"/>
      <c r="J55" s="366"/>
      <c r="K55" s="367"/>
      <c r="L55" s="367"/>
      <c r="M55" s="367"/>
      <c r="N55" s="367"/>
      <c r="O55" s="367"/>
      <c r="P55" s="338"/>
      <c r="Q55" s="373"/>
      <c r="R55" s="373"/>
      <c r="S55" s="373"/>
      <c r="T55" s="373"/>
      <c r="U55" s="373"/>
      <c r="V55" s="496" t="s">
        <v>422</v>
      </c>
      <c r="W55" s="500">
        <v>91999912</v>
      </c>
      <c r="X55" s="435" t="s">
        <v>744</v>
      </c>
      <c r="Y55" s="435" t="s">
        <v>744</v>
      </c>
      <c r="Z55" s="497">
        <v>0.70833333333333337</v>
      </c>
      <c r="AA55" s="497">
        <v>0.875</v>
      </c>
      <c r="AB55" s="498">
        <v>9000</v>
      </c>
      <c r="AC55" s="499">
        <v>4</v>
      </c>
      <c r="AD55" s="287">
        <v>4</v>
      </c>
    </row>
    <row r="56" spans="1:32">
      <c r="A56" s="413" t="s">
        <v>4</v>
      </c>
      <c r="B56" s="359">
        <f t="shared" ref="B56:O56" si="13">SUM(B47:B55)</f>
        <v>955500</v>
      </c>
      <c r="C56" s="360">
        <f t="shared" si="13"/>
        <v>801924</v>
      </c>
      <c r="D56" s="360">
        <f t="shared" si="13"/>
        <v>0</v>
      </c>
      <c r="E56" s="360">
        <f t="shared" si="13"/>
        <v>2632096</v>
      </c>
      <c r="F56" s="360">
        <f t="shared" si="13"/>
        <v>1280000</v>
      </c>
      <c r="G56" s="360">
        <f t="shared" si="13"/>
        <v>14039700</v>
      </c>
      <c r="H56" s="360">
        <f t="shared" si="13"/>
        <v>23584990</v>
      </c>
      <c r="I56" s="360">
        <f t="shared" si="13"/>
        <v>13673850</v>
      </c>
      <c r="J56" s="360">
        <f t="shared" si="13"/>
        <v>7738000</v>
      </c>
      <c r="K56" s="360">
        <f t="shared" si="13"/>
        <v>200000</v>
      </c>
      <c r="L56" s="360">
        <f t="shared" si="13"/>
        <v>1272125</v>
      </c>
      <c r="M56" s="360">
        <f t="shared" si="13"/>
        <v>129808</v>
      </c>
      <c r="N56" s="480">
        <f t="shared" si="13"/>
        <v>123981</v>
      </c>
      <c r="O56" s="481">
        <f t="shared" si="13"/>
        <v>450000</v>
      </c>
      <c r="P56" s="349">
        <f>SUM(B56:O56)</f>
        <v>66881974</v>
      </c>
      <c r="Q56" s="373"/>
      <c r="R56" s="373"/>
      <c r="S56" s="373"/>
      <c r="T56" s="373"/>
      <c r="U56" s="373"/>
      <c r="V56" s="496" t="s">
        <v>422</v>
      </c>
      <c r="W56" s="500">
        <v>91999913</v>
      </c>
      <c r="X56" s="435" t="s">
        <v>746</v>
      </c>
      <c r="Y56" s="435" t="s">
        <v>746</v>
      </c>
      <c r="Z56" s="497">
        <v>0.91666666666666663</v>
      </c>
      <c r="AA56" s="497">
        <v>0</v>
      </c>
      <c r="AB56" s="498">
        <v>9000</v>
      </c>
      <c r="AC56" s="499">
        <v>2</v>
      </c>
      <c r="AD56" s="287">
        <v>2</v>
      </c>
      <c r="AF56" s="643" t="s">
        <v>1401</v>
      </c>
    </row>
    <row r="57" spans="1:32">
      <c r="A57" s="414"/>
      <c r="B57" s="325"/>
      <c r="C57" s="326"/>
      <c r="D57" s="326"/>
      <c r="E57" s="334"/>
      <c r="F57" s="326"/>
      <c r="G57" s="326"/>
      <c r="H57" s="326"/>
      <c r="I57" s="326"/>
      <c r="J57" s="326"/>
      <c r="K57" s="334"/>
      <c r="L57" s="334"/>
      <c r="M57" s="334"/>
      <c r="N57" s="334"/>
      <c r="O57" s="395"/>
      <c r="P57" s="349"/>
      <c r="Q57" s="373"/>
      <c r="R57" s="373"/>
      <c r="S57" s="373"/>
      <c r="T57" s="373"/>
      <c r="U57" s="373"/>
      <c r="V57" s="496" t="s">
        <v>422</v>
      </c>
      <c r="W57" s="500">
        <v>91999913</v>
      </c>
      <c r="X57" s="435" t="s">
        <v>745</v>
      </c>
      <c r="Y57" s="435" t="s">
        <v>745</v>
      </c>
      <c r="Z57" s="497">
        <v>0.70833333333333337</v>
      </c>
      <c r="AA57" s="497">
        <v>0.875</v>
      </c>
      <c r="AB57" s="498">
        <v>9000</v>
      </c>
      <c r="AC57" s="499">
        <v>4</v>
      </c>
      <c r="AD57" s="287">
        <v>4</v>
      </c>
    </row>
    <row r="58" spans="1:32" ht="14.4" thickBot="1">
      <c r="A58" s="410" t="s">
        <v>5</v>
      </c>
      <c r="B58" s="327">
        <f t="shared" ref="B58:O58" si="14">B43-B56</f>
        <v>8265656</v>
      </c>
      <c r="C58" s="328">
        <f t="shared" si="14"/>
        <v>6452076</v>
      </c>
      <c r="D58" s="328">
        <f t="shared" si="14"/>
        <v>6000000</v>
      </c>
      <c r="E58" s="328">
        <f t="shared" si="14"/>
        <v>9172713</v>
      </c>
      <c r="F58" s="328">
        <f t="shared" si="14"/>
        <v>11520000</v>
      </c>
      <c r="G58" s="328">
        <f t="shared" si="14"/>
        <v>60216300</v>
      </c>
      <c r="H58" s="328">
        <f t="shared" si="14"/>
        <v>52411385</v>
      </c>
      <c r="I58" s="328">
        <f t="shared" si="14"/>
        <v>52460400</v>
      </c>
      <c r="J58" s="328">
        <f t="shared" si="14"/>
        <v>35162000</v>
      </c>
      <c r="K58" s="328">
        <f t="shared" si="14"/>
        <v>12800000</v>
      </c>
      <c r="L58" s="328">
        <f t="shared" si="14"/>
        <v>10227875</v>
      </c>
      <c r="M58" s="328">
        <f t="shared" si="14"/>
        <v>12195018</v>
      </c>
      <c r="N58" s="328">
        <f t="shared" si="14"/>
        <v>11567943</v>
      </c>
      <c r="O58" s="398">
        <f t="shared" si="14"/>
        <v>4050000</v>
      </c>
      <c r="P58" s="349">
        <f>SUM(B58:O58)</f>
        <v>292501366</v>
      </c>
      <c r="Q58" s="373"/>
      <c r="R58" s="373"/>
      <c r="S58" s="373"/>
      <c r="T58" s="373"/>
      <c r="U58" s="373"/>
      <c r="V58" s="33"/>
      <c r="W58" s="45"/>
      <c r="X58" s="13"/>
      <c r="Y58" s="13"/>
      <c r="Z58" s="13"/>
      <c r="AA58" s="13"/>
      <c r="AB58" s="13"/>
      <c r="AC58" s="18"/>
    </row>
    <row r="59" spans="1:32" ht="14.4" thickTop="1">
      <c r="A59" s="415"/>
      <c r="B59" s="325"/>
      <c r="C59" s="326"/>
      <c r="D59" s="326"/>
      <c r="E59" s="334"/>
      <c r="F59" s="326"/>
      <c r="G59" s="326"/>
      <c r="H59" s="326"/>
      <c r="I59" s="326"/>
      <c r="J59" s="326"/>
      <c r="K59" s="334"/>
      <c r="L59" s="334"/>
      <c r="M59" s="334"/>
      <c r="N59" s="334"/>
      <c r="O59" s="395"/>
      <c r="P59" s="349"/>
      <c r="Q59" s="341"/>
      <c r="R59" s="341"/>
      <c r="S59" s="341"/>
      <c r="T59" s="341"/>
      <c r="U59" s="341"/>
      <c r="V59" s="33"/>
      <c r="W59" s="45"/>
      <c r="X59" s="13"/>
      <c r="Y59" s="13"/>
      <c r="Z59" s="13"/>
      <c r="AA59" s="13"/>
      <c r="AB59" s="13"/>
      <c r="AC59" s="18"/>
    </row>
    <row r="60" spans="1:32" ht="15.6">
      <c r="A60" s="404" t="s">
        <v>62</v>
      </c>
      <c r="B60" s="368"/>
      <c r="C60" s="399"/>
      <c r="D60" s="399"/>
      <c r="E60" s="364"/>
      <c r="F60" s="399"/>
      <c r="G60" s="399"/>
      <c r="H60" s="400"/>
      <c r="I60" s="399"/>
      <c r="J60" s="399"/>
      <c r="K60" s="364"/>
      <c r="L60" s="364"/>
      <c r="M60" s="364"/>
      <c r="N60" s="364"/>
      <c r="O60" s="377"/>
      <c r="P60" s="377"/>
      <c r="Q60" s="373"/>
      <c r="R60" s="373"/>
      <c r="S60" s="373"/>
      <c r="T60" s="373"/>
      <c r="U60" s="373"/>
      <c r="V60" s="33"/>
      <c r="W60" s="45"/>
      <c r="X60" s="13"/>
      <c r="Y60" s="13"/>
      <c r="Z60" s="13"/>
      <c r="AA60" s="13"/>
      <c r="AB60" s="13"/>
      <c r="AC60" s="18"/>
    </row>
    <row r="61" spans="1:32">
      <c r="A61" s="417" t="s">
        <v>570</v>
      </c>
      <c r="B61" s="326">
        <f>ROUND(MIN(B$105,29800000)*'New Hire'!C55,0)</f>
        <v>1547000</v>
      </c>
      <c r="C61" s="326">
        <f>ROUND(MIN(C$105,29800000)*'New Hire'!D55,0)</f>
        <v>1269450</v>
      </c>
      <c r="D61" s="326">
        <v>0</v>
      </c>
      <c r="E61" s="326">
        <f>ROUND(MIN(E$105,29800000)*'New Hire'!F55,0)</f>
        <v>1870000</v>
      </c>
      <c r="F61" s="326">
        <f>ROUND(MIN(F$105,29800000)*'New Hire'!G55,0)</f>
        <v>0</v>
      </c>
      <c r="G61" s="326">
        <f>ROUND(MIN(G$105,29800000)*'New Hire'!H55,0)</f>
        <v>1043000</v>
      </c>
      <c r="H61" s="326">
        <f>ROUND(MIN(H$105,29800000)*'New Hire'!I55,0)</f>
        <v>894000</v>
      </c>
      <c r="I61" s="326">
        <f>ROUND(MIN(I$105,29800000)*'New Hire'!J55,0)</f>
        <v>149000</v>
      </c>
      <c r="J61" s="326">
        <f>ROUND(MIN(J$105,29800000)*'New Hire'!K55,0)</f>
        <v>5066000</v>
      </c>
      <c r="K61" s="326">
        <f>ROUND(MIN(K$105,29800000)*'New Hire'!L55,0)</f>
        <v>0</v>
      </c>
      <c r="L61" s="326">
        <f>ROUND(MIN(L$105,29800000)*'New Hire'!M55,0)</f>
        <v>1955000</v>
      </c>
      <c r="M61" s="326">
        <f>ROUND(MIN(M$105,29800000)*'New Hire'!N55,0)</f>
        <v>0</v>
      </c>
      <c r="N61" s="326">
        <f>ROUND(MIN(N$105,29800000)*'New Hire'!O55,0)</f>
        <v>0</v>
      </c>
      <c r="O61" s="394">
        <f>ROUND(MIN(O$105,29800000)*'New Hire'!P55,0)</f>
        <v>0</v>
      </c>
      <c r="P61" s="340">
        <f>SUM(B61:O61)</f>
        <v>13793450</v>
      </c>
      <c r="Q61" s="373"/>
      <c r="R61" s="373"/>
      <c r="S61" s="373"/>
      <c r="T61" s="373"/>
      <c r="U61" s="373"/>
      <c r="V61" s="32"/>
      <c r="W61" s="44"/>
      <c r="X61" s="13"/>
      <c r="Y61" s="13"/>
      <c r="Z61" s="13"/>
      <c r="AA61" s="13"/>
      <c r="AB61" s="13"/>
      <c r="AC61" s="18"/>
    </row>
    <row r="62" spans="1:32">
      <c r="A62" s="436" t="s">
        <v>571</v>
      </c>
      <c r="B62" s="326">
        <f>ROUND(MIN(B106,83600000)*'New Hire'!C58,0)</f>
        <v>91000</v>
      </c>
      <c r="C62" s="326">
        <f>ROUND(MIN(C106,83600000)*'New Hire'!D58,0)</f>
        <v>72540</v>
      </c>
      <c r="D62" s="326">
        <v>0</v>
      </c>
      <c r="E62" s="326">
        <f>ROUND(MIN(E106,83600000)*'New Hire'!F58,0)</f>
        <v>110000</v>
      </c>
      <c r="F62" s="326">
        <f>ROUND(MIN(F106,83600000)*'New Hire'!G58,0)</f>
        <v>0</v>
      </c>
      <c r="G62" s="326">
        <f>ROUND(MIN(G106,83600000)*'New Hire'!H58,0)</f>
        <v>0</v>
      </c>
      <c r="H62" s="326">
        <f>ROUND(MIN(H106,83600000)*'New Hire'!I58,0)</f>
        <v>0</v>
      </c>
      <c r="I62" s="326">
        <f>ROUND(MIN(I106,83600000)*'New Hire'!J58,0)</f>
        <v>0</v>
      </c>
      <c r="J62" s="326">
        <f>ROUND(MIN(J106,83600000)*'New Hire'!K58,0)</f>
        <v>429000</v>
      </c>
      <c r="K62" s="326">
        <f>ROUND(MIN(K106,83600000)*'New Hire'!L58,0)</f>
        <v>0</v>
      </c>
      <c r="L62" s="326">
        <f>ROUND(MIN(L106,83600000)*'New Hire'!M58,0)</f>
        <v>115000</v>
      </c>
      <c r="M62" s="326">
        <f>ROUND(MIN(M106,83600000)*'New Hire'!N58,0)</f>
        <v>0</v>
      </c>
      <c r="N62" s="326">
        <f>ROUND(MIN(N106,83600000)*'New Hire'!O58,0)</f>
        <v>0</v>
      </c>
      <c r="O62" s="326">
        <f>ROUND(MIN(O106,83600000)*'New Hire'!P58,0)</f>
        <v>0</v>
      </c>
      <c r="P62" s="339">
        <f>SUM(B62:O62)</f>
        <v>817540</v>
      </c>
      <c r="Q62" s="373"/>
      <c r="R62" s="373"/>
      <c r="S62" s="373"/>
      <c r="T62" s="373"/>
      <c r="U62" s="373"/>
      <c r="V62" s="34"/>
      <c r="W62" s="46"/>
      <c r="X62" s="35"/>
      <c r="Y62" s="35"/>
      <c r="Z62" s="35"/>
      <c r="AA62" s="35"/>
      <c r="AB62" s="35"/>
      <c r="AC62" s="36"/>
    </row>
    <row r="63" spans="1:32">
      <c r="A63" s="436" t="s">
        <v>572</v>
      </c>
      <c r="B63" s="326">
        <f>ROUND(MIN(B$105,29800000)*'New Hire'!C61,0)</f>
        <v>273000</v>
      </c>
      <c r="C63" s="326">
        <f>ROUND(MIN(C$105,29800000)*'New Hire'!D61,0)</f>
        <v>217620</v>
      </c>
      <c r="D63" s="326">
        <v>0</v>
      </c>
      <c r="E63" s="326">
        <f>ROUND(MIN(E$105,29800000)*'New Hire'!F61,0)</f>
        <v>330000</v>
      </c>
      <c r="F63" s="326">
        <f>ROUND(MIN(F$105,29800000)*'New Hire'!G61,0)</f>
        <v>0</v>
      </c>
      <c r="G63" s="326">
        <f>ROUND(MIN(G$105,29800000)*'New Hire'!H61,0)</f>
        <v>894000</v>
      </c>
      <c r="H63" s="326">
        <f>ROUND(MIN(H$105,29800000)*'New Hire'!I61,0)</f>
        <v>894000</v>
      </c>
      <c r="I63" s="326">
        <f>ROUND(MIN(I$105,29800000)*'New Hire'!J61,0)</f>
        <v>894000</v>
      </c>
      <c r="J63" s="326">
        <f>ROUND(MIN(J$105,29800000)*'New Hire'!K61,0)</f>
        <v>894000</v>
      </c>
      <c r="K63" s="326">
        <f>ROUND(MIN(K$105,29800000)*'New Hire'!L61,0)</f>
        <v>0</v>
      </c>
      <c r="L63" s="326">
        <f>ROUND(MIN(L$105,29800000)*'New Hire'!M61,0)</f>
        <v>345000</v>
      </c>
      <c r="M63" s="326">
        <f>ROUND(MIN(M$105,29800000)*'New Hire'!N61,0)</f>
        <v>0</v>
      </c>
      <c r="N63" s="326">
        <f>ROUND(MIN(N$105,29800000)*'New Hire'!O61,0)</f>
        <v>0</v>
      </c>
      <c r="O63" s="326">
        <f>ROUND(MIN(O$105,29800000)*'New Hire'!P61,0)</f>
        <v>0</v>
      </c>
      <c r="P63" s="339">
        <f>SUM(B63:O63)</f>
        <v>4741620</v>
      </c>
      <c r="Q63" s="373"/>
      <c r="R63" s="373"/>
      <c r="S63" s="373"/>
      <c r="T63" s="373"/>
      <c r="U63" s="373"/>
      <c r="V63"/>
      <c r="W63"/>
      <c r="X63"/>
      <c r="Y63"/>
      <c r="Z63"/>
      <c r="AA63"/>
      <c r="AB63"/>
      <c r="AC63"/>
    </row>
    <row r="64" spans="1:32">
      <c r="A64" s="436" t="s">
        <v>1071</v>
      </c>
      <c r="B64" s="326">
        <f>IF(B47+B61=0,0,ROUND(MIN(B105,29800000)*2%,0))</f>
        <v>182000</v>
      </c>
      <c r="C64" s="326">
        <f t="shared" ref="C64:O64" si="15">IF(C47+C61=0,0,ROUND(MIN(C105,29800000)*2%,0))</f>
        <v>145080</v>
      </c>
      <c r="D64" s="326">
        <f t="shared" si="15"/>
        <v>0</v>
      </c>
      <c r="E64" s="326">
        <f t="shared" si="15"/>
        <v>220000</v>
      </c>
      <c r="F64" s="326">
        <f t="shared" si="15"/>
        <v>0</v>
      </c>
      <c r="G64" s="326">
        <f t="shared" si="15"/>
        <v>596000</v>
      </c>
      <c r="H64" s="326">
        <f t="shared" si="15"/>
        <v>596000</v>
      </c>
      <c r="I64" s="326">
        <f t="shared" si="15"/>
        <v>596000</v>
      </c>
      <c r="J64" s="326">
        <f t="shared" si="15"/>
        <v>596000</v>
      </c>
      <c r="K64" s="326">
        <f t="shared" si="15"/>
        <v>0</v>
      </c>
      <c r="L64" s="326">
        <f t="shared" si="15"/>
        <v>230000</v>
      </c>
      <c r="M64" s="326">
        <f t="shared" si="15"/>
        <v>0</v>
      </c>
      <c r="N64" s="326">
        <f t="shared" si="15"/>
        <v>0</v>
      </c>
      <c r="O64" s="326">
        <f t="shared" si="15"/>
        <v>0</v>
      </c>
      <c r="P64" s="339">
        <f>SUM(B64:O64)</f>
        <v>3161080</v>
      </c>
      <c r="Q64" s="373"/>
      <c r="R64" s="373"/>
      <c r="S64" s="373"/>
      <c r="T64" s="373"/>
      <c r="U64" s="373"/>
      <c r="V64"/>
      <c r="W64"/>
      <c r="X64"/>
      <c r="Y64"/>
      <c r="Z64"/>
      <c r="AA64"/>
      <c r="AB64"/>
      <c r="AC64"/>
    </row>
    <row r="65" spans="1:29">
      <c r="A65" s="436" t="s">
        <v>510</v>
      </c>
      <c r="B65" s="326">
        <f t="shared" ref="B65:O65" si="16">IF(OR(B21="A",B21="B"),B100,ROUND(B100*B14,0))</f>
        <v>679452</v>
      </c>
      <c r="C65" s="326">
        <f t="shared" si="16"/>
        <v>679452</v>
      </c>
      <c r="D65" s="326">
        <f t="shared" si="16"/>
        <v>0</v>
      </c>
      <c r="E65" s="326">
        <f t="shared" si="16"/>
        <v>679452</v>
      </c>
      <c r="F65" s="326">
        <f t="shared" si="16"/>
        <v>679452</v>
      </c>
      <c r="G65" s="326">
        <f t="shared" si="16"/>
        <v>0</v>
      </c>
      <c r="H65" s="326">
        <f t="shared" si="16"/>
        <v>339726</v>
      </c>
      <c r="I65" s="326">
        <f t="shared" si="16"/>
        <v>0</v>
      </c>
      <c r="J65" s="326">
        <f t="shared" si="16"/>
        <v>0</v>
      </c>
      <c r="K65" s="326">
        <f t="shared" si="16"/>
        <v>0</v>
      </c>
      <c r="L65" s="326">
        <f t="shared" si="16"/>
        <v>0</v>
      </c>
      <c r="M65" s="326">
        <f t="shared" si="16"/>
        <v>0</v>
      </c>
      <c r="N65" s="326">
        <f t="shared" si="16"/>
        <v>0</v>
      </c>
      <c r="O65" s="326">
        <f t="shared" si="16"/>
        <v>0</v>
      </c>
      <c r="P65" s="339">
        <f>SUM(B65:O65)</f>
        <v>3057534</v>
      </c>
      <c r="Q65" s="373"/>
      <c r="R65" s="373"/>
      <c r="S65" s="373"/>
      <c r="T65" s="373"/>
      <c r="U65" s="373"/>
      <c r="V65"/>
      <c r="W65"/>
      <c r="X65"/>
      <c r="Y65"/>
      <c r="Z65"/>
      <c r="AA65"/>
      <c r="AB65"/>
      <c r="AC65"/>
    </row>
    <row r="66" spans="1:29">
      <c r="A66" s="405"/>
      <c r="B66" s="325"/>
      <c r="C66" s="326"/>
      <c r="D66" s="326"/>
      <c r="E66" s="334"/>
      <c r="F66" s="326"/>
      <c r="G66" s="326"/>
      <c r="H66" s="326"/>
      <c r="I66" s="326"/>
      <c r="J66" s="326"/>
      <c r="K66" s="334"/>
      <c r="L66" s="334"/>
      <c r="M66" s="334"/>
      <c r="N66" s="334"/>
      <c r="O66" s="395"/>
      <c r="P66" s="340"/>
      <c r="Q66" s="373"/>
      <c r="R66" s="373"/>
      <c r="S66" s="373"/>
      <c r="T66" s="373"/>
      <c r="U66" s="373"/>
      <c r="V66"/>
      <c r="W66"/>
      <c r="X66"/>
      <c r="Y66"/>
      <c r="Z66"/>
      <c r="AA66"/>
      <c r="AB66"/>
      <c r="AC66"/>
    </row>
    <row r="67" spans="1:29" ht="15.6">
      <c r="A67" s="404" t="s">
        <v>474</v>
      </c>
      <c r="B67" s="325"/>
      <c r="C67" s="326"/>
      <c r="D67" s="326"/>
      <c r="E67" s="334"/>
      <c r="F67" s="326"/>
      <c r="G67" s="326"/>
      <c r="H67" s="326"/>
      <c r="I67" s="326"/>
      <c r="J67" s="326"/>
      <c r="K67" s="334"/>
      <c r="L67" s="334"/>
      <c r="M67" s="334"/>
      <c r="N67" s="334"/>
      <c r="O67" s="395"/>
      <c r="P67" s="340"/>
      <c r="Q67" s="373"/>
      <c r="R67" s="373"/>
      <c r="S67" s="373"/>
      <c r="T67" s="373"/>
      <c r="U67" s="373"/>
      <c r="V67"/>
      <c r="W67"/>
      <c r="X67"/>
      <c r="Y67"/>
      <c r="Z67"/>
      <c r="AA67"/>
      <c r="AB67"/>
      <c r="AC67"/>
    </row>
    <row r="68" spans="1:29">
      <c r="A68" s="436" t="s">
        <v>475</v>
      </c>
      <c r="B68" s="326">
        <f>IF(AND(OR(B12="1",B12="P"),'New Hire'!C28="Local"),ROUND(B149*B97,0),0)+'UAT6-Jun'!B72</f>
        <v>3241379</v>
      </c>
      <c r="C68" s="326">
        <f>IF(AND(OR(C12="1",C12="P"),'New Hire'!D28="Local"),ROUND(C149*C97,0),0)+'UAT6-Jun'!C72</f>
        <v>2610690</v>
      </c>
      <c r="D68" s="326">
        <f>IF(AND(OR(D12="1",D12="P"),'New Hire'!E28="Local"),ROUND(D149*D97,0),0)+'UAT6-Jun'!D72</f>
        <v>0</v>
      </c>
      <c r="E68" s="326">
        <f>IF(AND(OR(E12="1",E12="P"),'New Hire'!F28="Local"),ROUND(E149*E97,0),0)+'UAT6-Jun'!E72</f>
        <v>0</v>
      </c>
      <c r="F68" s="326">
        <f>IF(AND(OR(F12="1",F12="P"),'New Hire'!G28="Local"),ROUND(F149*F97,0),0)+'UAT6-Jun'!F72</f>
        <v>0</v>
      </c>
      <c r="G68" s="326">
        <f>IF(AND(OR(G12="1",G12="P"),'New Hire'!H28="Local"),ROUND(G149*G97,0),0)+'UAT6-Jun'!G72</f>
        <v>0</v>
      </c>
      <c r="H68" s="326">
        <f>IF(AND(OR(H12="1",H12="P"),'New Hire'!I28="Local"),ROUND(H149*H97,0),0)+'UAT6-Jun'!H72</f>
        <v>0</v>
      </c>
      <c r="I68" s="326">
        <f>IF(AND(OR(I12="1",I12="P"),'New Hire'!J28="Local"),ROUND(I149*I97,0),0)+'UAT6-Jun'!I72</f>
        <v>0</v>
      </c>
      <c r="J68" s="326">
        <f>IF(AND(OR(J12="1",J12="P"),'New Hire'!K28="Local"),ROUND(J149*J97,0),0)+'UAT6-Jun'!J72</f>
        <v>15666670</v>
      </c>
      <c r="K68" s="326">
        <f>IF(AND(OR(K12="1",K12="P"),'New Hire'!L28="Local"),ROUND(K149*K97,0),0)+'UAT6-Jun'!K72</f>
        <v>4988507</v>
      </c>
      <c r="L68" s="326">
        <f>IF(AND(OR(L12="1",L12="P"),'New Hire'!M28="Local"),ROUND(L149*L97,0),0)+'UAT6-Jun'!L72</f>
        <v>39480849</v>
      </c>
      <c r="M68" s="326">
        <f>IF(AND(OR(M12="1",M12="P"),'New Hire'!N28="Local"),ROUND(M149*M97,0),0)+'UAT6-Jun'!M72</f>
        <v>0</v>
      </c>
      <c r="N68" s="326">
        <f>IF(AND(OR(N12="1",N12="P"),'New Hire'!O28="Local"),ROUND(N149*N97,0),0)+'UAT6-Jun'!N72</f>
        <v>0</v>
      </c>
      <c r="O68" s="326">
        <f>IF(AND(OR(O12="1",O12="P"),'New Hire'!P28="Local"),ROUND(O149*O97,0),0)+'UAT6-Jun'!O72</f>
        <v>1327587</v>
      </c>
      <c r="P68" s="339">
        <f>SUM(B68:O68)</f>
        <v>67315682</v>
      </c>
      <c r="Q68" s="373"/>
      <c r="R68" s="373"/>
      <c r="S68" s="373"/>
      <c r="T68" s="373"/>
      <c r="U68" s="373"/>
      <c r="V68"/>
      <c r="W68"/>
      <c r="X68"/>
      <c r="Y68"/>
      <c r="Z68"/>
      <c r="AA68"/>
      <c r="AB68"/>
      <c r="AC68"/>
    </row>
    <row r="69" spans="1:29">
      <c r="A69" s="436" t="s">
        <v>482</v>
      </c>
      <c r="B69" s="584"/>
      <c r="C69" s="584">
        <f>'UAT6-Jun'!C73</f>
        <v>2.5</v>
      </c>
      <c r="D69" s="584"/>
      <c r="E69" s="584"/>
      <c r="F69" s="584"/>
      <c r="G69" s="584">
        <f>CEILING(ROUND(('UAT5-May'!G16+'UAT6-Jun'!G18+G15)/261,2),0.5)</f>
        <v>0.5</v>
      </c>
      <c r="H69" s="584">
        <f>CEILING(ROUND(('UAT1-Jan'!AB70+'UAT1-Jan'!H14+'UAT2-Feb'!H14+'UAT3-Mar'!H14+'UAT4-Apr'!H14+'UAT5-May'!H15+'UAT6-Jun'!H18+H15)/261,2),0.5)</f>
        <v>5</v>
      </c>
      <c r="I69" s="584">
        <f>CEILING(ROUND(('UAT1-Jan'!I14+'UAT2-Feb'!I14+'UAT3-Mar'!I14+'UAT4-Apr'!I14+'UAT5-May'!I15+'UAT6-Jun'!I18+I15)/261,2),0.5)</f>
        <v>1</v>
      </c>
      <c r="J69" s="584"/>
      <c r="K69" s="584"/>
      <c r="L69" s="584"/>
      <c r="M69" s="584"/>
      <c r="N69" s="584">
        <f>'UAT6-Jun'!N73</f>
        <v>1.5</v>
      </c>
      <c r="O69" s="584"/>
      <c r="P69" s="654">
        <f>SUM(B69:O69)</f>
        <v>10.5</v>
      </c>
      <c r="Q69" s="373"/>
      <c r="R69" s="373"/>
      <c r="S69" s="373"/>
      <c r="T69" s="373"/>
      <c r="U69" s="373"/>
      <c r="V69"/>
      <c r="W69"/>
      <c r="X69"/>
      <c r="Y69"/>
      <c r="Z69"/>
      <c r="AA69"/>
      <c r="AB69"/>
      <c r="AC69"/>
    </row>
    <row r="70" spans="1:29">
      <c r="A70" s="436" t="s">
        <v>581</v>
      </c>
      <c r="B70" s="326">
        <f>B107+B28+B30+B32+'UAT6-Jun'!B74-'UAT1-Jan'!B94</f>
        <v>48000000</v>
      </c>
      <c r="C70" s="326">
        <f>C107+C28+C30+C32+'UAT6-Jun'!C74-'UAT1-Jan'!C94</f>
        <v>39645000</v>
      </c>
      <c r="D70" s="326">
        <f>D107+D28+D30+D32+'UAT6-Jun'!D74-'UAT1-Jan'!D94</f>
        <v>43205000</v>
      </c>
      <c r="E70" s="326">
        <f>E107+E28+E30+E32+'UAT6-Jun'!E74-'UAT1-Jan'!E94</f>
        <v>58800000</v>
      </c>
      <c r="F70" s="326">
        <f>F107+F28+F30+F32+'UAT6-Jun'!F74-'UAT1-Jan'!F94</f>
        <v>71840000</v>
      </c>
      <c r="G70" s="326">
        <f>G107+G28+G30+G32+'UAT6-Jun'!G74-'UAT1-Jan'!G94</f>
        <v>222768000</v>
      </c>
      <c r="H70" s="326">
        <f>H107+H28+H30+H32+'UAT6-Jun'!H74-'UAT1-Jan'!H94</f>
        <v>429872625</v>
      </c>
      <c r="I70" s="326">
        <f>I107+I28+I30+I32+'UAT6-Jun'!I74-'UAT1-Jan'!I94</f>
        <v>388712756</v>
      </c>
      <c r="J70" s="326">
        <f>J107+J28+J30+J32+'UAT6-Jun'!J74-'UAT1-Jan'!J94</f>
        <v>241800000</v>
      </c>
      <c r="K70" s="326">
        <f>K107+K28+K30+K32+'UAT6-Jun'!K74-'UAT1-Jan'!K94</f>
        <v>68330000</v>
      </c>
      <c r="L70" s="326">
        <f>L107+L28+L30+L32+'UAT6-Jun'!L74-'UAT1-Jan'!L94</f>
        <v>383000000</v>
      </c>
      <c r="M70" s="326">
        <f>M107+M28+M30+M32+'UAT6-Jun'!M74-'UAT1-Jan'!M94</f>
        <v>51000000</v>
      </c>
      <c r="N70" s="326">
        <f>N107+N28+N30+N32+'UAT6-Jun'!N74-'UAT1-Jan'!N94</f>
        <v>56220000</v>
      </c>
      <c r="O70" s="326">
        <f>O107+O28+O30+O32+'UAT6-Jun'!O74-'UAT1-Jan'!O94</f>
        <v>15750000</v>
      </c>
      <c r="P70" s="339">
        <f>SUM(B70:O70)</f>
        <v>2118943381</v>
      </c>
      <c r="Q70" s="335"/>
      <c r="R70" s="335"/>
      <c r="S70" s="335"/>
      <c r="T70" s="335"/>
      <c r="U70" s="335"/>
    </row>
    <row r="71" spans="1:29">
      <c r="A71" s="436" t="s">
        <v>1138</v>
      </c>
      <c r="B71" s="7">
        <v>8</v>
      </c>
      <c r="C71" s="7"/>
      <c r="D71" s="7"/>
      <c r="E71" s="7">
        <v>15</v>
      </c>
      <c r="F71" s="7"/>
      <c r="G71" s="7"/>
      <c r="H71" s="7"/>
      <c r="I71" s="7"/>
      <c r="J71" s="7">
        <v>8</v>
      </c>
      <c r="K71" s="7"/>
      <c r="L71" s="7"/>
      <c r="M71" s="7">
        <v>60</v>
      </c>
      <c r="N71" s="7">
        <v>10</v>
      </c>
      <c r="O71" s="7"/>
      <c r="P71" s="653">
        <f>SUM(B71:O71)</f>
        <v>101</v>
      </c>
      <c r="Q71" s="335"/>
      <c r="R71" s="335"/>
      <c r="S71" s="335"/>
      <c r="T71" s="335"/>
      <c r="U71" s="335"/>
    </row>
    <row r="72" spans="1:29">
      <c r="A72" s="405"/>
      <c r="B72" s="325"/>
      <c r="C72" s="326"/>
      <c r="D72" s="326"/>
      <c r="E72" s="334"/>
      <c r="F72" s="326"/>
      <c r="G72" s="326"/>
      <c r="H72" s="326"/>
      <c r="I72" s="326"/>
      <c r="J72" s="326"/>
      <c r="K72" s="334"/>
      <c r="L72" s="334"/>
      <c r="M72" s="334"/>
      <c r="N72" s="334"/>
      <c r="O72" s="334"/>
      <c r="P72" s="339"/>
      <c r="Q72" s="335"/>
      <c r="R72" s="335"/>
      <c r="S72" s="335"/>
      <c r="T72" s="335"/>
      <c r="U72" s="335"/>
    </row>
    <row r="73" spans="1:29" ht="15.6">
      <c r="A73" s="404" t="s">
        <v>835</v>
      </c>
      <c r="B73" s="468"/>
      <c r="C73" s="468"/>
      <c r="D73" s="468"/>
      <c r="E73" s="468"/>
      <c r="F73" s="468"/>
      <c r="G73" s="468"/>
      <c r="H73" s="468"/>
      <c r="I73" s="468"/>
      <c r="J73" s="559"/>
      <c r="K73" s="468"/>
      <c r="L73" s="468"/>
      <c r="M73" s="468"/>
      <c r="N73" s="468"/>
      <c r="O73" s="468"/>
      <c r="P73" s="339"/>
      <c r="Q73" s="469"/>
      <c r="R73" s="469"/>
      <c r="S73" s="373"/>
      <c r="T73" s="373"/>
      <c r="U73" s="373"/>
    </row>
    <row r="74" spans="1:29">
      <c r="A74" s="462" t="s">
        <v>1120</v>
      </c>
      <c r="B74" s="334">
        <f t="shared" ref="B74:O74" si="17">ROUND(B89*(B120+B121),0)</f>
        <v>0</v>
      </c>
      <c r="C74" s="334">
        <f t="shared" si="17"/>
        <v>0</v>
      </c>
      <c r="D74" s="334">
        <f t="shared" si="17"/>
        <v>0</v>
      </c>
      <c r="E74" s="334">
        <f t="shared" si="17"/>
        <v>0</v>
      </c>
      <c r="F74" s="334">
        <f t="shared" si="17"/>
        <v>0</v>
      </c>
      <c r="G74" s="334">
        <f t="shared" si="17"/>
        <v>0</v>
      </c>
      <c r="H74" s="334">
        <f t="shared" si="17"/>
        <v>0</v>
      </c>
      <c r="I74" s="334">
        <f t="shared" si="17"/>
        <v>0</v>
      </c>
      <c r="J74" s="334">
        <f t="shared" si="17"/>
        <v>0</v>
      </c>
      <c r="K74" s="334">
        <f t="shared" si="17"/>
        <v>0</v>
      </c>
      <c r="L74" s="334">
        <f t="shared" si="17"/>
        <v>0</v>
      </c>
      <c r="M74" s="334">
        <f t="shared" si="17"/>
        <v>0</v>
      </c>
      <c r="N74" s="334">
        <f t="shared" si="17"/>
        <v>0</v>
      </c>
      <c r="O74" s="334">
        <f t="shared" si="17"/>
        <v>0</v>
      </c>
      <c r="P74" s="339">
        <f>SUM(B74:O74)</f>
        <v>0</v>
      </c>
      <c r="Q74" s="335"/>
      <c r="R74" s="335"/>
      <c r="S74" s="335"/>
      <c r="T74" s="335"/>
      <c r="U74" s="335"/>
    </row>
    <row r="75" spans="1:29">
      <c r="A75" s="462" t="s">
        <v>832</v>
      </c>
      <c r="B75" s="334">
        <f t="shared" ref="B75:O75" si="18">ROUND(B89*B118,0)</f>
        <v>8400000</v>
      </c>
      <c r="C75" s="334">
        <f t="shared" si="18"/>
        <v>6696000</v>
      </c>
      <c r="D75" s="334">
        <f t="shared" si="18"/>
        <v>0</v>
      </c>
      <c r="E75" s="334">
        <f t="shared" si="18"/>
        <v>10153920</v>
      </c>
      <c r="F75" s="334">
        <f t="shared" si="18"/>
        <v>11815424</v>
      </c>
      <c r="G75" s="334">
        <f t="shared" si="18"/>
        <v>43756776</v>
      </c>
      <c r="H75" s="334">
        <f t="shared" si="18"/>
        <v>73363520</v>
      </c>
      <c r="I75" s="334">
        <f t="shared" si="18"/>
        <v>0</v>
      </c>
      <c r="J75" s="334">
        <f t="shared" si="18"/>
        <v>36564000</v>
      </c>
      <c r="K75" s="334">
        <f t="shared" si="18"/>
        <v>12000000</v>
      </c>
      <c r="L75" s="334">
        <f t="shared" si="18"/>
        <v>10615360</v>
      </c>
      <c r="M75" s="334">
        <f t="shared" si="18"/>
        <v>9692320</v>
      </c>
      <c r="N75" s="334">
        <f t="shared" si="18"/>
        <v>10015360</v>
      </c>
      <c r="O75" s="334">
        <f t="shared" si="18"/>
        <v>2966506</v>
      </c>
      <c r="P75" s="339">
        <f>SUM(B75:O75)</f>
        <v>236039186</v>
      </c>
      <c r="Q75" s="335"/>
      <c r="R75" s="335"/>
      <c r="S75" s="335"/>
      <c r="T75" s="335"/>
      <c r="U75" s="335"/>
    </row>
    <row r="76" spans="1:29">
      <c r="A76" s="462" t="s">
        <v>833</v>
      </c>
      <c r="B76" s="334">
        <f>ROUND(ROUND(ROUND(ROUND((B149+B139+B140)*B14,0)*12*B15*AB35,0)/261,0)/10,0)+'UAT6-Jun'!B80</f>
        <v>1837977</v>
      </c>
      <c r="C76" s="334"/>
      <c r="D76" s="334"/>
      <c r="E76" s="334"/>
      <c r="F76" s="334"/>
      <c r="G76" s="334"/>
      <c r="H76" s="334">
        <f>ROUND(ROUND(ROUND(ROUND((H149+H139+H140)*H14,0)*12*H15*AB36,0)/261,0)/10,0)+'UAT6-Jun'!H80</f>
        <v>12209137</v>
      </c>
      <c r="I76" s="334"/>
      <c r="J76" s="444"/>
      <c r="K76" s="334"/>
      <c r="L76" s="334"/>
      <c r="M76" s="334"/>
      <c r="N76" s="334"/>
      <c r="O76" s="334"/>
      <c r="P76" s="339">
        <f>SUM(B76:O76)</f>
        <v>14047114</v>
      </c>
      <c r="Q76" s="469"/>
      <c r="R76" s="469"/>
      <c r="S76" s="373"/>
      <c r="T76" s="373"/>
      <c r="U76" s="373"/>
    </row>
    <row r="77" spans="1:29">
      <c r="A77" s="462" t="s">
        <v>834</v>
      </c>
      <c r="B77" s="334"/>
      <c r="C77" s="334">
        <f>ROUND(C69*C149*C14*50%,0)</f>
        <v>6975000</v>
      </c>
      <c r="D77" s="334"/>
      <c r="E77" s="334"/>
      <c r="F77" s="334"/>
      <c r="G77" s="334"/>
      <c r="H77" s="334">
        <f>ROUND(H69*H149*H14*50%,0)</f>
        <v>142130625</v>
      </c>
      <c r="I77" s="334"/>
      <c r="J77" s="334"/>
      <c r="K77" s="334"/>
      <c r="L77" s="334"/>
      <c r="M77" s="334"/>
      <c r="N77" s="334">
        <f>ROUND(N69*N149*N14*50%,0)</f>
        <v>6000000</v>
      </c>
      <c r="O77" s="334"/>
      <c r="P77" s="339">
        <f>SUM(B77:O77)</f>
        <v>155105625</v>
      </c>
      <c r="Q77" s="335"/>
      <c r="R77" s="335"/>
      <c r="S77" s="335"/>
      <c r="T77" s="335"/>
      <c r="U77" s="335"/>
    </row>
    <row r="78" spans="1:29">
      <c r="A78" s="462"/>
      <c r="B78" s="468"/>
      <c r="C78" s="468"/>
      <c r="D78" s="468"/>
      <c r="E78" s="468"/>
      <c r="F78" s="468"/>
      <c r="G78" s="468"/>
      <c r="H78" s="468"/>
      <c r="I78" s="468"/>
      <c r="J78" s="559"/>
      <c r="K78" s="468"/>
      <c r="L78" s="468"/>
      <c r="M78" s="468"/>
      <c r="N78" s="468"/>
      <c r="O78" s="468"/>
      <c r="P78" s="339"/>
      <c r="Q78" s="335"/>
      <c r="R78" s="335"/>
      <c r="S78" s="335"/>
      <c r="T78" s="335"/>
      <c r="U78" s="335"/>
    </row>
    <row r="79" spans="1:29" ht="15.6">
      <c r="A79" s="404" t="s">
        <v>691</v>
      </c>
      <c r="B79" s="325"/>
      <c r="C79" s="326"/>
      <c r="D79" s="326"/>
      <c r="E79" s="334"/>
      <c r="F79" s="326"/>
      <c r="G79" s="326"/>
      <c r="H79" s="326"/>
      <c r="I79" s="326"/>
      <c r="J79" s="326"/>
      <c r="K79" s="334"/>
      <c r="L79" s="334"/>
      <c r="M79" s="334"/>
      <c r="N79" s="334"/>
      <c r="O79" s="334"/>
      <c r="P79" s="339"/>
      <c r="Q79" s="335"/>
      <c r="R79" s="335"/>
      <c r="S79" s="335"/>
      <c r="T79" s="335"/>
      <c r="U79" s="335"/>
    </row>
    <row r="80" spans="1:29">
      <c r="A80" s="483" t="s">
        <v>1378</v>
      </c>
      <c r="B80" s="484">
        <f>ROUND('UAT6-Jun'!B100*AD46*100%,0)</f>
        <v>80770</v>
      </c>
      <c r="C80" s="484"/>
      <c r="D80" s="484"/>
      <c r="E80" s="484">
        <f>ROUND('UAT6-Jun'!E99*AD47*100%,0)+ROUND('UAT6-Jun'!E100*AD48*100%,0)</f>
        <v>450001</v>
      </c>
      <c r="F80" s="484"/>
      <c r="G80" s="484"/>
      <c r="H80" s="484"/>
      <c r="I80" s="484"/>
      <c r="J80" s="484"/>
      <c r="K80" s="484"/>
      <c r="L80" s="484"/>
      <c r="M80" s="484">
        <f>ROUND('UAT6-Jun'!M99*AD49*100%,0)+ROUND('UAT6-Jun'!M100*SUM(AD50:AD55,AE52)*100%,0)</f>
        <v>1096160</v>
      </c>
      <c r="N80" s="484">
        <f>ROUND('UAT6-Jun'!N100*AD56*100%,0)+ROUND(N87*AD57*100%,0)</f>
        <v>259616</v>
      </c>
      <c r="O80" s="432"/>
      <c r="P80" s="657">
        <f>SUM(B80:O80)</f>
        <v>1886547</v>
      </c>
      <c r="Q80" s="501" t="s">
        <v>591</v>
      </c>
      <c r="R80" s="501" t="s">
        <v>591</v>
      </c>
      <c r="S80" s="502"/>
      <c r="T80" s="503"/>
      <c r="U80" s="503"/>
    </row>
    <row r="81" spans="1:21">
      <c r="A81" s="487" t="s">
        <v>1379</v>
      </c>
      <c r="B81" s="484">
        <f>ROUND('UAT6-Jun'!B100*50%,0)*AD46</f>
        <v>40386</v>
      </c>
      <c r="C81" s="484"/>
      <c r="D81" s="484"/>
      <c r="E81" s="484">
        <f>ROUND('UAT6-Jun'!E100*50%,0)*AD48</f>
        <v>95193</v>
      </c>
      <c r="F81" s="484"/>
      <c r="G81" s="484"/>
      <c r="H81" s="484"/>
      <c r="I81" s="484"/>
      <c r="J81" s="484"/>
      <c r="K81" s="484"/>
      <c r="L81" s="484"/>
      <c r="M81" s="484">
        <f>ROUND('UAT6-Jun'!M100*50%,0)*SUM(AD50:AD55)</f>
        <v>363474</v>
      </c>
      <c r="N81" s="484">
        <f>ROUND(N87*AD57*50%,0)</f>
        <v>92308</v>
      </c>
      <c r="O81" s="485"/>
      <c r="P81" s="486">
        <f>SUM(B81:O81)</f>
        <v>591361</v>
      </c>
      <c r="Q81" s="501" t="s">
        <v>591</v>
      </c>
      <c r="R81" s="501"/>
      <c r="S81" s="502"/>
      <c r="T81" s="503"/>
      <c r="U81" s="503"/>
    </row>
    <row r="82" spans="1:21">
      <c r="A82" s="488" t="s">
        <v>1380</v>
      </c>
      <c r="B82" s="484"/>
      <c r="C82" s="484"/>
      <c r="D82" s="484"/>
      <c r="E82" s="484"/>
      <c r="F82" s="484"/>
      <c r="G82" s="484"/>
      <c r="H82" s="484"/>
      <c r="I82" s="484"/>
      <c r="J82" s="484"/>
      <c r="K82" s="484"/>
      <c r="L82" s="484"/>
      <c r="M82" s="484">
        <f>ROUND('UAT6-Jun'!M100*AE52*95%,0)</f>
        <v>76732</v>
      </c>
      <c r="N82" s="484"/>
      <c r="O82" s="485"/>
      <c r="P82" s="486">
        <f>SUM(B82:O82)</f>
        <v>76732</v>
      </c>
      <c r="Q82" s="501" t="s">
        <v>591</v>
      </c>
      <c r="R82" s="501"/>
      <c r="S82" s="504"/>
      <c r="T82" s="504"/>
      <c r="U82" s="504"/>
    </row>
    <row r="83" spans="1:21">
      <c r="A83" s="509" t="s">
        <v>1354</v>
      </c>
      <c r="B83" s="484"/>
      <c r="C83" s="484"/>
      <c r="D83" s="484"/>
      <c r="E83" s="484">
        <f>ROUND('UAT6-Jun'!E99*AD47*100%,0)</f>
        <v>259615</v>
      </c>
      <c r="F83" s="484"/>
      <c r="G83" s="484"/>
      <c r="H83" s="484"/>
      <c r="I83" s="484"/>
      <c r="J83" s="484"/>
      <c r="K83" s="484"/>
      <c r="L83" s="484"/>
      <c r="M83" s="484">
        <f>ROUND('UAT6-Jun'!M99*AD49*100%,0)</f>
        <v>288460</v>
      </c>
      <c r="N83" s="484"/>
      <c r="O83" s="485"/>
      <c r="P83" s="486">
        <f>SUM(B83:O83)</f>
        <v>548075</v>
      </c>
      <c r="Q83" s="501" t="s">
        <v>591</v>
      </c>
      <c r="R83" s="501"/>
      <c r="S83" s="504"/>
      <c r="T83" s="504"/>
      <c r="U83" s="504"/>
    </row>
    <row r="84" spans="1:21">
      <c r="A84" s="487" t="s">
        <v>1356</v>
      </c>
      <c r="B84" s="484"/>
      <c r="C84" s="484"/>
      <c r="D84" s="484"/>
      <c r="E84" s="484"/>
      <c r="F84" s="484"/>
      <c r="G84" s="484"/>
      <c r="H84" s="484"/>
      <c r="I84" s="484"/>
      <c r="J84" s="484"/>
      <c r="K84" s="484"/>
      <c r="L84" s="484"/>
      <c r="M84" s="484"/>
      <c r="N84" s="484">
        <f>ROUND('UAT6-Jun'!N100*AD56*160%,0)</f>
        <v>120000</v>
      </c>
      <c r="O84" s="485"/>
      <c r="P84" s="486">
        <f>SUM(B84:O84)</f>
        <v>120000</v>
      </c>
      <c r="Q84" s="501" t="s">
        <v>591</v>
      </c>
      <c r="R84" s="501"/>
      <c r="S84" s="503"/>
      <c r="T84" s="503"/>
      <c r="U84" s="503"/>
    </row>
    <row r="85" spans="1:21">
      <c r="A85" s="405"/>
      <c r="B85" s="325"/>
      <c r="C85" s="326"/>
      <c r="D85" s="326"/>
      <c r="E85" s="334"/>
      <c r="F85" s="326"/>
      <c r="G85" s="326"/>
      <c r="H85" s="326"/>
      <c r="I85" s="326"/>
      <c r="J85" s="326"/>
      <c r="K85" s="334"/>
      <c r="L85" s="334"/>
      <c r="M85" s="334"/>
      <c r="N85" s="334"/>
      <c r="O85" s="395"/>
      <c r="P85" s="340"/>
      <c r="Q85" s="335"/>
      <c r="R85" s="470"/>
      <c r="S85" s="335"/>
      <c r="T85" s="335"/>
      <c r="U85" s="335"/>
    </row>
    <row r="86" spans="1:21" ht="15.6">
      <c r="A86" s="404" t="s">
        <v>483</v>
      </c>
      <c r="B86" s="325"/>
      <c r="C86" s="326"/>
      <c r="D86" s="326"/>
      <c r="E86" s="334"/>
      <c r="F86" s="326"/>
      <c r="G86" s="326"/>
      <c r="H86" s="326"/>
      <c r="I86" s="326"/>
      <c r="J86" s="326"/>
      <c r="K86" s="334"/>
      <c r="L86" s="334"/>
      <c r="M86" s="334"/>
      <c r="N86" s="334"/>
      <c r="O86" s="334"/>
      <c r="P86" s="339"/>
      <c r="Q86" s="335"/>
      <c r="R86" s="470"/>
      <c r="S86" s="335"/>
      <c r="T86" s="335"/>
      <c r="U86" s="335"/>
    </row>
    <row r="87" spans="1:21">
      <c r="A87" s="436" t="s">
        <v>488</v>
      </c>
      <c r="B87" s="326">
        <f t="shared" ref="B87:O87" si="19">ROUND(B148*12/52/40,0)</f>
        <v>40385</v>
      </c>
      <c r="C87" s="326">
        <f t="shared" si="19"/>
        <v>35769</v>
      </c>
      <c r="D87" s="326">
        <f t="shared" si="19"/>
        <v>40385</v>
      </c>
      <c r="E87" s="326">
        <f t="shared" si="19"/>
        <v>63462</v>
      </c>
      <c r="F87" s="326">
        <f t="shared" si="19"/>
        <v>92308</v>
      </c>
      <c r="G87" s="326">
        <f t="shared" si="19"/>
        <v>428400</v>
      </c>
      <c r="H87" s="326">
        <f t="shared" si="19"/>
        <v>696150</v>
      </c>
      <c r="I87" s="326">
        <f t="shared" si="19"/>
        <v>522113</v>
      </c>
      <c r="J87" s="326">
        <f t="shared" si="19"/>
        <v>317308</v>
      </c>
      <c r="K87" s="326">
        <f t="shared" si="19"/>
        <v>57692</v>
      </c>
      <c r="L87" s="326">
        <f t="shared" si="19"/>
        <v>66346</v>
      </c>
      <c r="M87" s="326">
        <f t="shared" si="19"/>
        <v>40385</v>
      </c>
      <c r="N87" s="326">
        <f t="shared" si="19"/>
        <v>46154</v>
      </c>
      <c r="O87" s="326">
        <f t="shared" si="19"/>
        <v>34615</v>
      </c>
      <c r="P87" s="339">
        <f t="shared" ref="P87:P101" si="20">SUM(B87:O87)</f>
        <v>2481472</v>
      </c>
      <c r="Q87" s="341"/>
      <c r="R87" s="470"/>
      <c r="S87" s="335"/>
      <c r="T87" s="335"/>
      <c r="U87" s="335"/>
    </row>
    <row r="88" spans="1:21">
      <c r="A88" s="452" t="s">
        <v>1222</v>
      </c>
      <c r="B88" s="431"/>
      <c r="C88" s="431"/>
      <c r="D88" s="431"/>
      <c r="E88" s="431"/>
      <c r="F88" s="431"/>
      <c r="G88" s="431"/>
      <c r="H88" s="431"/>
      <c r="I88" s="431"/>
      <c r="J88" s="431"/>
      <c r="K88" s="431"/>
      <c r="L88" s="431"/>
      <c r="M88" s="431"/>
      <c r="N88" s="431">
        <f>N87</f>
        <v>46154</v>
      </c>
      <c r="O88" s="431"/>
      <c r="P88" s="657">
        <f t="shared" si="20"/>
        <v>46154</v>
      </c>
      <c r="Q88" s="341"/>
      <c r="R88" s="335"/>
      <c r="S88" s="335"/>
      <c r="T88" s="335"/>
      <c r="U88" s="335"/>
    </row>
    <row r="89" spans="1:21">
      <c r="A89" s="436" t="s">
        <v>499</v>
      </c>
      <c r="B89" s="326">
        <f t="shared" ref="B89:O89" si="21">ROUND(SUM(B148,B134,B136)*12/52/40,0)</f>
        <v>52500</v>
      </c>
      <c r="C89" s="326">
        <f t="shared" si="21"/>
        <v>46500</v>
      </c>
      <c r="D89" s="326">
        <f t="shared" si="21"/>
        <v>52500</v>
      </c>
      <c r="E89" s="326">
        <f t="shared" si="21"/>
        <v>63462</v>
      </c>
      <c r="F89" s="326">
        <f t="shared" si="21"/>
        <v>92308</v>
      </c>
      <c r="G89" s="326">
        <f t="shared" si="21"/>
        <v>428400</v>
      </c>
      <c r="H89" s="326">
        <f t="shared" si="21"/>
        <v>917044</v>
      </c>
      <c r="I89" s="326">
        <f t="shared" si="21"/>
        <v>522113</v>
      </c>
      <c r="J89" s="326">
        <f t="shared" si="21"/>
        <v>412500</v>
      </c>
      <c r="K89" s="326">
        <f t="shared" si="21"/>
        <v>75000</v>
      </c>
      <c r="L89" s="326">
        <f t="shared" si="21"/>
        <v>66346</v>
      </c>
      <c r="M89" s="326">
        <f t="shared" si="21"/>
        <v>60577</v>
      </c>
      <c r="N89" s="326">
        <f t="shared" si="21"/>
        <v>62596</v>
      </c>
      <c r="O89" s="326">
        <f t="shared" si="21"/>
        <v>34615</v>
      </c>
      <c r="P89" s="339">
        <f t="shared" si="20"/>
        <v>2886461</v>
      </c>
      <c r="Q89" s="341"/>
      <c r="R89" s="341"/>
      <c r="S89" s="341"/>
      <c r="T89" s="341"/>
      <c r="U89" s="341"/>
    </row>
    <row r="90" spans="1:21">
      <c r="A90" s="452" t="s">
        <v>1223</v>
      </c>
      <c r="B90" s="431"/>
      <c r="C90" s="431"/>
      <c r="D90" s="431"/>
      <c r="E90" s="431"/>
      <c r="F90" s="431"/>
      <c r="G90" s="431"/>
      <c r="H90" s="431"/>
      <c r="I90" s="431"/>
      <c r="J90" s="431"/>
      <c r="K90" s="431"/>
      <c r="L90" s="431"/>
      <c r="M90" s="431"/>
      <c r="N90" s="431">
        <f>N89</f>
        <v>62596</v>
      </c>
      <c r="O90" s="431"/>
      <c r="P90" s="657">
        <f t="shared" si="20"/>
        <v>62596</v>
      </c>
      <c r="Q90" s="341"/>
      <c r="R90" s="341"/>
      <c r="S90" s="341"/>
      <c r="T90" s="341"/>
      <c r="U90" s="341"/>
    </row>
    <row r="91" spans="1:21">
      <c r="A91" s="436" t="s">
        <v>500</v>
      </c>
      <c r="B91" s="326">
        <f>ROUND(B148/B17,0)</f>
        <v>304348</v>
      </c>
      <c r="C91" s="326">
        <f>ROUND(C148/C17,0)</f>
        <v>269565</v>
      </c>
      <c r="D91" s="326">
        <v>0</v>
      </c>
      <c r="E91" s="326">
        <f t="shared" ref="E91:O91" si="22">ROUND(E148/E17,0)</f>
        <v>478261</v>
      </c>
      <c r="F91" s="326">
        <f t="shared" si="22"/>
        <v>695652</v>
      </c>
      <c r="G91" s="326">
        <f t="shared" si="22"/>
        <v>3228522</v>
      </c>
      <c r="H91" s="326">
        <f t="shared" si="22"/>
        <v>5246348</v>
      </c>
      <c r="I91" s="326">
        <f t="shared" si="22"/>
        <v>3934761</v>
      </c>
      <c r="J91" s="326">
        <f t="shared" si="22"/>
        <v>2391304</v>
      </c>
      <c r="K91" s="326">
        <f t="shared" si="22"/>
        <v>434783</v>
      </c>
      <c r="L91" s="326">
        <f t="shared" si="22"/>
        <v>500000</v>
      </c>
      <c r="M91" s="326">
        <f t="shared" si="22"/>
        <v>304348</v>
      </c>
      <c r="N91" s="326">
        <f t="shared" si="22"/>
        <v>347826</v>
      </c>
      <c r="O91" s="326">
        <f t="shared" si="22"/>
        <v>260870</v>
      </c>
      <c r="P91" s="339">
        <f t="shared" si="20"/>
        <v>18396588</v>
      </c>
      <c r="Q91" s="341"/>
      <c r="R91" s="341"/>
      <c r="S91" s="341"/>
      <c r="T91" s="341"/>
      <c r="U91" s="341"/>
    </row>
    <row r="92" spans="1:21">
      <c r="A92" s="452" t="s">
        <v>1224</v>
      </c>
      <c r="B92" s="431"/>
      <c r="C92" s="431"/>
      <c r="D92" s="431"/>
      <c r="E92" s="431"/>
      <c r="F92" s="431"/>
      <c r="G92" s="431"/>
      <c r="H92" s="431"/>
      <c r="I92" s="431"/>
      <c r="J92" s="431"/>
      <c r="K92" s="431"/>
      <c r="L92" s="431"/>
      <c r="M92" s="431"/>
      <c r="N92" s="431">
        <f>ROUND(N148/'UAT6-Jun'!N19,0)</f>
        <v>400000</v>
      </c>
      <c r="O92" s="431"/>
      <c r="P92" s="657">
        <f t="shared" si="20"/>
        <v>400000</v>
      </c>
      <c r="Q92" s="341"/>
      <c r="R92" s="341"/>
      <c r="S92" s="341"/>
      <c r="T92" s="341"/>
      <c r="U92" s="341"/>
    </row>
    <row r="93" spans="1:21">
      <c r="A93" s="436" t="s">
        <v>621</v>
      </c>
      <c r="B93" s="326">
        <f>ROUND(SUM(B134,B136,B138,B140:B142)/B17,0)</f>
        <v>91304</v>
      </c>
      <c r="C93" s="326">
        <f>ROUND(SUM(C134,C136,C138,C140:C142)/C17,0)</f>
        <v>80870</v>
      </c>
      <c r="D93" s="326">
        <v>0</v>
      </c>
      <c r="E93" s="326">
        <f t="shared" ref="E93:O93" si="23">ROUND(SUM(E134,E136,E138,E140:E142)/E17,0)</f>
        <v>0</v>
      </c>
      <c r="F93" s="326">
        <f t="shared" si="23"/>
        <v>0</v>
      </c>
      <c r="G93" s="326">
        <f t="shared" si="23"/>
        <v>0</v>
      </c>
      <c r="H93" s="326">
        <f t="shared" si="23"/>
        <v>1664707</v>
      </c>
      <c r="I93" s="326">
        <f t="shared" si="23"/>
        <v>0</v>
      </c>
      <c r="J93" s="326">
        <f t="shared" si="23"/>
        <v>717391</v>
      </c>
      <c r="K93" s="326">
        <f t="shared" si="23"/>
        <v>130435</v>
      </c>
      <c r="L93" s="326">
        <f t="shared" si="23"/>
        <v>0</v>
      </c>
      <c r="M93" s="326">
        <f t="shared" si="23"/>
        <v>152174</v>
      </c>
      <c r="N93" s="326">
        <f t="shared" si="23"/>
        <v>123913</v>
      </c>
      <c r="O93" s="326">
        <f t="shared" si="23"/>
        <v>0</v>
      </c>
      <c r="P93" s="339">
        <f t="shared" si="20"/>
        <v>2960794</v>
      </c>
      <c r="Q93" s="341"/>
      <c r="R93" s="341"/>
      <c r="S93" s="341"/>
      <c r="T93" s="341"/>
      <c r="U93" s="341"/>
    </row>
    <row r="94" spans="1:21">
      <c r="A94" s="452" t="s">
        <v>1225</v>
      </c>
      <c r="B94" s="431"/>
      <c r="C94" s="431"/>
      <c r="D94" s="431"/>
      <c r="E94" s="431"/>
      <c r="F94" s="431"/>
      <c r="G94" s="431"/>
      <c r="H94" s="431"/>
      <c r="I94" s="431"/>
      <c r="J94" s="431"/>
      <c r="K94" s="431"/>
      <c r="L94" s="431"/>
      <c r="M94" s="431"/>
      <c r="N94" s="431">
        <f>ROUND(SUM(N134,N136,N138,N140:N142)/'UAT6-Jun'!N19,0)</f>
        <v>142500</v>
      </c>
      <c r="O94" s="431"/>
      <c r="P94" s="657">
        <f t="shared" si="20"/>
        <v>142500</v>
      </c>
      <c r="Q94" s="341"/>
      <c r="R94" s="341"/>
      <c r="S94" s="341"/>
      <c r="T94" s="341"/>
      <c r="U94" s="341"/>
    </row>
    <row r="95" spans="1:21">
      <c r="A95" s="436" t="s">
        <v>501</v>
      </c>
      <c r="B95" s="670">
        <f>ROUND(B15/B17*B14,8)</f>
        <v>1</v>
      </c>
      <c r="C95" s="670">
        <f>ROUND(C15/C17*C14,8)</f>
        <v>0.9</v>
      </c>
      <c r="D95" s="670">
        <v>0</v>
      </c>
      <c r="E95" s="670">
        <f t="shared" ref="E95:O95" si="24">ROUND(E15/E17*E14,8)</f>
        <v>1</v>
      </c>
      <c r="F95" s="670">
        <f t="shared" si="24"/>
        <v>0.8</v>
      </c>
      <c r="G95" s="670">
        <f t="shared" si="24"/>
        <v>1</v>
      </c>
      <c r="H95" s="670">
        <f t="shared" si="24"/>
        <v>0.5</v>
      </c>
      <c r="I95" s="670">
        <f t="shared" si="24"/>
        <v>0.75</v>
      </c>
      <c r="J95" s="670">
        <f t="shared" si="24"/>
        <v>0.6</v>
      </c>
      <c r="K95" s="670">
        <f t="shared" si="24"/>
        <v>1</v>
      </c>
      <c r="L95" s="670">
        <f t="shared" si="24"/>
        <v>1</v>
      </c>
      <c r="M95" s="670">
        <f t="shared" si="24"/>
        <v>1</v>
      </c>
      <c r="N95" s="670">
        <f t="shared" si="24"/>
        <v>1</v>
      </c>
      <c r="O95" s="670">
        <f t="shared" si="24"/>
        <v>0.75</v>
      </c>
      <c r="P95" s="653"/>
      <c r="Q95" s="342"/>
      <c r="R95" s="341"/>
      <c r="S95" s="341"/>
      <c r="T95" s="341"/>
      <c r="U95" s="341"/>
    </row>
    <row r="96" spans="1:21">
      <c r="A96" s="452" t="s">
        <v>733</v>
      </c>
      <c r="B96" s="671"/>
      <c r="C96" s="671"/>
      <c r="D96" s="671"/>
      <c r="E96" s="671"/>
      <c r="F96" s="671"/>
      <c r="G96" s="671"/>
      <c r="H96" s="671"/>
      <c r="I96" s="671"/>
      <c r="J96" s="671"/>
      <c r="K96" s="671"/>
      <c r="L96" s="671"/>
      <c r="M96" s="671"/>
      <c r="N96" s="671">
        <f>ROUND(N16/'UAT6-Jun'!N19*'UAT6-Jun'!N15,8)</f>
        <v>0.2</v>
      </c>
      <c r="O96" s="671"/>
      <c r="P96" s="692"/>
      <c r="Q96" s="341"/>
      <c r="R96" s="341"/>
      <c r="S96" s="341"/>
      <c r="T96" s="341"/>
      <c r="U96" s="341"/>
    </row>
    <row r="97" spans="1:29">
      <c r="A97" s="436" t="s">
        <v>502</v>
      </c>
      <c r="B97" s="670">
        <f>ROUND((B15-B143)/261*B14,8)</f>
        <v>8.8122610000000004E-2</v>
      </c>
      <c r="C97" s="670">
        <f t="shared" ref="C97:O97" si="25">ROUND((C15-C143)/261*C14,8)</f>
        <v>7.9310339999999993E-2</v>
      </c>
      <c r="D97" s="670">
        <f t="shared" si="25"/>
        <v>0</v>
      </c>
      <c r="E97" s="670">
        <f t="shared" si="25"/>
        <v>8.8122610000000004E-2</v>
      </c>
      <c r="F97" s="670">
        <f t="shared" si="25"/>
        <v>7.0498080000000005E-2</v>
      </c>
      <c r="G97" s="670">
        <f t="shared" si="25"/>
        <v>8.8122610000000004E-2</v>
      </c>
      <c r="H97" s="670">
        <f t="shared" si="25"/>
        <v>4.4061299999999998E-2</v>
      </c>
      <c r="I97" s="670">
        <f t="shared" si="25"/>
        <v>6.6091949999999997E-2</v>
      </c>
      <c r="J97" s="670">
        <f t="shared" si="25"/>
        <v>5.287356E-2</v>
      </c>
      <c r="K97" s="670">
        <f t="shared" si="25"/>
        <v>8.8122610000000004E-2</v>
      </c>
      <c r="L97" s="670">
        <f t="shared" si="25"/>
        <v>8.8122610000000004E-2</v>
      </c>
      <c r="M97" s="670">
        <f t="shared" si="25"/>
        <v>8.8122610000000004E-2</v>
      </c>
      <c r="N97" s="670">
        <f t="shared" si="25"/>
        <v>8.8122610000000004E-2</v>
      </c>
      <c r="O97" s="670">
        <f t="shared" si="25"/>
        <v>6.6091949999999997E-2</v>
      </c>
      <c r="P97" s="653"/>
      <c r="Q97" s="341"/>
      <c r="R97" s="341"/>
      <c r="S97" s="341"/>
      <c r="T97" s="341"/>
      <c r="U97" s="341"/>
    </row>
    <row r="98" spans="1:29">
      <c r="A98" s="452" t="s">
        <v>734</v>
      </c>
      <c r="B98" s="435">
        <f t="shared" ref="B98:O98" si="26">(B16-B143)/261*100%</f>
        <v>0</v>
      </c>
      <c r="C98" s="435">
        <f t="shared" si="26"/>
        <v>0</v>
      </c>
      <c r="D98" s="435">
        <f t="shared" si="26"/>
        <v>0</v>
      </c>
      <c r="E98" s="435">
        <f t="shared" si="26"/>
        <v>0</v>
      </c>
      <c r="F98" s="435">
        <f t="shared" si="26"/>
        <v>0</v>
      </c>
      <c r="G98" s="435">
        <f t="shared" si="26"/>
        <v>0</v>
      </c>
      <c r="H98" s="435">
        <f t="shared" si="26"/>
        <v>0</v>
      </c>
      <c r="I98" s="435">
        <f t="shared" si="26"/>
        <v>0</v>
      </c>
      <c r="J98" s="435">
        <f t="shared" si="26"/>
        <v>0</v>
      </c>
      <c r="K98" s="435">
        <f t="shared" si="26"/>
        <v>0</v>
      </c>
      <c r="L98" s="435">
        <f t="shared" si="26"/>
        <v>0</v>
      </c>
      <c r="M98" s="435">
        <f t="shared" si="26"/>
        <v>0</v>
      </c>
      <c r="N98" s="435">
        <f t="shared" si="26"/>
        <v>1.532567049808429E-2</v>
      </c>
      <c r="O98" s="518">
        <f t="shared" si="26"/>
        <v>0</v>
      </c>
      <c r="P98" s="491"/>
      <c r="Q98" s="341"/>
      <c r="R98" s="342"/>
      <c r="S98" s="342"/>
      <c r="T98" s="342"/>
      <c r="U98" s="342"/>
    </row>
    <row r="99" spans="1:29">
      <c r="A99" s="436" t="s">
        <v>503</v>
      </c>
      <c r="B99" s="7">
        <f>B145/B17*100%</f>
        <v>0</v>
      </c>
      <c r="C99" s="7">
        <f>C145/C17*100%</f>
        <v>0</v>
      </c>
      <c r="D99" s="7"/>
      <c r="E99" s="7">
        <f t="shared" ref="E99:O99" si="27">E145/E17*100%</f>
        <v>0</v>
      </c>
      <c r="F99" s="7">
        <f t="shared" si="27"/>
        <v>0</v>
      </c>
      <c r="G99" s="7">
        <f t="shared" si="27"/>
        <v>0</v>
      </c>
      <c r="H99" s="7">
        <f t="shared" si="27"/>
        <v>0</v>
      </c>
      <c r="I99" s="7">
        <f t="shared" si="27"/>
        <v>0</v>
      </c>
      <c r="J99" s="7">
        <f t="shared" si="27"/>
        <v>0</v>
      </c>
      <c r="K99" s="7">
        <f t="shared" si="27"/>
        <v>0</v>
      </c>
      <c r="L99" s="7">
        <f t="shared" si="27"/>
        <v>0</v>
      </c>
      <c r="M99" s="7">
        <f t="shared" si="27"/>
        <v>0</v>
      </c>
      <c r="N99" s="7">
        <f t="shared" si="27"/>
        <v>0</v>
      </c>
      <c r="O99" s="12">
        <f t="shared" si="27"/>
        <v>0</v>
      </c>
      <c r="P99" s="466"/>
      <c r="Q99" s="341"/>
      <c r="R99" s="341"/>
      <c r="S99" s="341"/>
      <c r="T99" s="341"/>
      <c r="U99" s="341"/>
    </row>
    <row r="100" spans="1:29">
      <c r="A100" s="442" t="s">
        <v>492</v>
      </c>
      <c r="B100" s="326">
        <f>ROUND(AA23*B18/365,0)</f>
        <v>679452</v>
      </c>
      <c r="C100" s="326">
        <f>ROUND(AA24*C18/365,0)</f>
        <v>679452</v>
      </c>
      <c r="E100" s="326">
        <f>ROUND(AA25*E18/365,0)</f>
        <v>679452</v>
      </c>
      <c r="F100" s="326">
        <f>ROUND(AA26*F18/365,0)</f>
        <v>679452</v>
      </c>
      <c r="G100" s="326"/>
      <c r="H100" s="326">
        <f>ROUND(AA27*G18/365,0)</f>
        <v>679452</v>
      </c>
      <c r="I100" s="326"/>
      <c r="J100" s="326"/>
      <c r="K100" s="334"/>
      <c r="L100" s="334"/>
      <c r="M100" s="334"/>
      <c r="N100" s="334"/>
      <c r="O100" s="395"/>
      <c r="P100" s="340">
        <f t="shared" si="20"/>
        <v>3397260</v>
      </c>
      <c r="Q100" s="341"/>
      <c r="R100" s="341"/>
      <c r="S100" s="341"/>
      <c r="T100" s="341"/>
      <c r="U100" s="341"/>
    </row>
    <row r="101" spans="1:29">
      <c r="A101" s="436" t="s">
        <v>534</v>
      </c>
      <c r="B101" s="326"/>
      <c r="C101" s="326"/>
      <c r="E101" s="326"/>
      <c r="F101" s="326"/>
      <c r="G101" s="326"/>
      <c r="H101" s="326">
        <f>ROUND(AA28*G18/365,0)</f>
        <v>594521</v>
      </c>
      <c r="I101" s="326"/>
      <c r="J101" s="326"/>
      <c r="K101" s="326"/>
      <c r="L101" s="326"/>
      <c r="M101" s="326"/>
      <c r="N101" s="326"/>
      <c r="O101" s="394"/>
      <c r="P101" s="340">
        <f t="shared" si="20"/>
        <v>594521</v>
      </c>
      <c r="Q101" s="341"/>
      <c r="R101" s="341"/>
      <c r="S101" s="341"/>
      <c r="T101" s="341"/>
      <c r="U101" s="341"/>
    </row>
    <row r="102" spans="1:29">
      <c r="A102" s="405"/>
      <c r="B102" s="325"/>
      <c r="C102" s="326"/>
      <c r="D102" s="326"/>
      <c r="E102" s="334"/>
      <c r="F102" s="326"/>
      <c r="G102" s="326"/>
      <c r="H102" s="326"/>
      <c r="I102" s="326"/>
      <c r="J102" s="326"/>
      <c r="K102" s="334"/>
      <c r="L102" s="334"/>
      <c r="M102" s="334"/>
      <c r="N102" s="334"/>
      <c r="O102" s="395"/>
      <c r="P102" s="340"/>
      <c r="Q102" s="341"/>
      <c r="R102" s="341"/>
      <c r="S102" s="341"/>
      <c r="T102" s="341"/>
      <c r="U102" s="341"/>
    </row>
    <row r="103" spans="1:29">
      <c r="A103" s="405" t="s">
        <v>576</v>
      </c>
      <c r="B103" s="325">
        <f t="shared" ref="B103:O103" si="28">SUM(B27:B39)</f>
        <v>9221156</v>
      </c>
      <c r="C103" s="326">
        <f t="shared" si="28"/>
        <v>7254000</v>
      </c>
      <c r="D103" s="326">
        <f t="shared" si="28"/>
        <v>6000000</v>
      </c>
      <c r="E103" s="326">
        <f t="shared" si="28"/>
        <v>11804809</v>
      </c>
      <c r="F103" s="326">
        <f t="shared" si="28"/>
        <v>12800000</v>
      </c>
      <c r="G103" s="326">
        <f t="shared" si="28"/>
        <v>74256000</v>
      </c>
      <c r="H103" s="326">
        <f t="shared" si="28"/>
        <v>75996375</v>
      </c>
      <c r="I103" s="326">
        <f t="shared" si="28"/>
        <v>66134250</v>
      </c>
      <c r="J103" s="326">
        <f t="shared" si="28"/>
        <v>42900000</v>
      </c>
      <c r="K103" s="326">
        <f t="shared" si="28"/>
        <v>13000000</v>
      </c>
      <c r="L103" s="326">
        <f t="shared" si="28"/>
        <v>11500000</v>
      </c>
      <c r="M103" s="326">
        <f t="shared" si="28"/>
        <v>12324826</v>
      </c>
      <c r="N103" s="326">
        <f t="shared" si="28"/>
        <v>11691924</v>
      </c>
      <c r="O103" s="326">
        <f t="shared" si="28"/>
        <v>4500000</v>
      </c>
      <c r="P103" s="339">
        <f t="shared" ref="P103:P122" si="29">SUM(B103:O103)</f>
        <v>359383340</v>
      </c>
      <c r="Q103" s="341"/>
      <c r="R103" s="341"/>
      <c r="S103" s="341"/>
      <c r="T103" s="341"/>
      <c r="U103" s="341"/>
    </row>
    <row r="104" spans="1:29">
      <c r="A104" s="436" t="s">
        <v>484</v>
      </c>
      <c r="B104" s="326">
        <f>SUM(B27:B34,B41)</f>
        <v>9382040</v>
      </c>
      <c r="C104" s="326">
        <f t="shared" ref="C104:O104" si="30">SUM(C27:C34,C41)</f>
        <v>7616287</v>
      </c>
      <c r="D104" s="326">
        <f t="shared" si="30"/>
        <v>6000000</v>
      </c>
      <c r="E104" s="326">
        <f t="shared" si="30"/>
        <v>11751907</v>
      </c>
      <c r="F104" s="326">
        <f t="shared" si="30"/>
        <v>12800000</v>
      </c>
      <c r="G104" s="326">
        <f t="shared" si="30"/>
        <v>74256000</v>
      </c>
      <c r="H104" s="326">
        <f t="shared" si="30"/>
        <v>80857540</v>
      </c>
      <c r="I104" s="326">
        <f t="shared" si="30"/>
        <v>66134250</v>
      </c>
      <c r="J104" s="326">
        <f t="shared" si="30"/>
        <v>42900000</v>
      </c>
      <c r="K104" s="326">
        <f t="shared" si="30"/>
        <v>13000000</v>
      </c>
      <c r="L104" s="326">
        <f t="shared" si="30"/>
        <v>11500000</v>
      </c>
      <c r="M104" s="326">
        <f t="shared" si="30"/>
        <v>11596160</v>
      </c>
      <c r="N104" s="326">
        <f t="shared" si="30"/>
        <v>11479616</v>
      </c>
      <c r="O104" s="326">
        <f t="shared" si="30"/>
        <v>4500000</v>
      </c>
      <c r="P104" s="339">
        <f t="shared" si="29"/>
        <v>363773800</v>
      </c>
      <c r="Q104" s="341"/>
      <c r="R104" s="341"/>
      <c r="S104" s="341"/>
      <c r="T104" s="341"/>
      <c r="U104" s="341"/>
    </row>
    <row r="105" spans="1:29">
      <c r="A105" s="696" t="s">
        <v>578</v>
      </c>
      <c r="B105" s="561">
        <f>MIN(IF(B15&gt;B17/2,IF(OR(B21="A",B21="B"),ROUND(SUM(B149,B134,B136)*B14,0),B150),0),29800000)</f>
        <v>9100000</v>
      </c>
      <c r="C105" s="561">
        <f>MIN(IF(C15&gt;C17/2,IF(OR(C21="A",C21="B"),ROUND(SUM(C149,C134,C136)*C14,0),C150),0),29800000)</f>
        <v>7254000</v>
      </c>
      <c r="D105" s="561">
        <v>9100000</v>
      </c>
      <c r="E105" s="561">
        <f t="shared" ref="E105:O105" si="31">MIN(IF(E15&gt;E17/2,IF(OR(E21="A",E21="B"),ROUND(SUM(E149,E134,E136)*E14,0),E150),0),29800000)</f>
        <v>11000000</v>
      </c>
      <c r="F105" s="561">
        <f t="shared" si="31"/>
        <v>12800000</v>
      </c>
      <c r="G105" s="561">
        <f t="shared" si="31"/>
        <v>29800000</v>
      </c>
      <c r="H105" s="561">
        <f t="shared" si="31"/>
        <v>29800000</v>
      </c>
      <c r="I105" s="561">
        <f t="shared" si="31"/>
        <v>29800000</v>
      </c>
      <c r="J105" s="561">
        <f t="shared" si="31"/>
        <v>29800000</v>
      </c>
      <c r="K105" s="561">
        <f t="shared" si="31"/>
        <v>13000000</v>
      </c>
      <c r="L105" s="561">
        <f t="shared" si="31"/>
        <v>11500000</v>
      </c>
      <c r="M105" s="561">
        <f t="shared" si="31"/>
        <v>10500000</v>
      </c>
      <c r="N105" s="561">
        <f t="shared" si="31"/>
        <v>10850000</v>
      </c>
      <c r="O105" s="561">
        <f t="shared" si="31"/>
        <v>4500000</v>
      </c>
      <c r="P105" s="339">
        <f t="shared" si="29"/>
        <v>218804000</v>
      </c>
      <c r="Q105" s="341"/>
      <c r="R105" s="341"/>
      <c r="S105" s="341"/>
      <c r="T105" s="341"/>
      <c r="U105" s="341"/>
    </row>
    <row r="106" spans="1:29">
      <c r="A106" s="405" t="s">
        <v>1200</v>
      </c>
      <c r="B106" s="326">
        <f>IF(B15&gt;B17/2,IF(OR(B21="A",B21="B"),ROUND(SUM(B149,B134,B136)*B14,0),B151),0)</f>
        <v>9100000</v>
      </c>
      <c r="C106" s="326">
        <f>IF(C15&gt;C17/2,IF(OR(C21="A",C21="B"),ROUND(SUM(C149,C134,C136)*C14,0),C151),0)</f>
        <v>7254000</v>
      </c>
      <c r="D106" s="326">
        <v>9100000</v>
      </c>
      <c r="E106" s="326">
        <f t="shared" ref="E106:O106" si="32">IF(E15&gt;E17/2,IF(OR(E21="A",E21="B"),ROUND(SUM(E149,E134,E136)*E14,0),E151),0)</f>
        <v>11000000</v>
      </c>
      <c r="F106" s="326">
        <f t="shared" si="32"/>
        <v>12800000</v>
      </c>
      <c r="G106" s="326">
        <f t="shared" si="32"/>
        <v>75200000</v>
      </c>
      <c r="H106" s="326">
        <f t="shared" si="32"/>
        <v>76962500</v>
      </c>
      <c r="I106" s="326">
        <f t="shared" si="32"/>
        <v>66975000</v>
      </c>
      <c r="J106" s="326">
        <f t="shared" si="32"/>
        <v>42900000</v>
      </c>
      <c r="K106" s="326">
        <f t="shared" si="32"/>
        <v>13000000</v>
      </c>
      <c r="L106" s="326">
        <f t="shared" si="32"/>
        <v>11500000</v>
      </c>
      <c r="M106" s="326">
        <f t="shared" si="32"/>
        <v>10500000</v>
      </c>
      <c r="N106" s="326">
        <f t="shared" si="32"/>
        <v>10850000</v>
      </c>
      <c r="O106" s="326">
        <f t="shared" si="32"/>
        <v>4500000</v>
      </c>
      <c r="P106" s="339">
        <f t="shared" si="29"/>
        <v>361641500</v>
      </c>
      <c r="Q106" s="341"/>
      <c r="R106" s="341"/>
      <c r="S106" s="341"/>
      <c r="T106" s="341"/>
      <c r="U106" s="341"/>
    </row>
    <row r="107" spans="1:29">
      <c r="A107" s="405" t="s">
        <v>580</v>
      </c>
      <c r="B107" s="326">
        <f>ROUND(IF(OR(B21="A",B21="B"),SUM(B149,B134,B136,B140,B141,B139)*B14,SUM(B149,B134,B136,B139)*B14),0)</f>
        <v>9100000</v>
      </c>
      <c r="C107" s="326">
        <f>ROUND(IF(OR(C21="A",C21="B"),SUM(C149,C134,C136,C140,C141,C139)*C14,SUM(C149,C134,C136,C139)*C14),0)</f>
        <v>7254000</v>
      </c>
      <c r="D107" s="326">
        <v>0</v>
      </c>
      <c r="E107" s="326">
        <f t="shared" ref="E107:O107" si="33">ROUND(IF(OR(E21="A",E21="B"),SUM(E149,E134,E136,E140,E141,E139)*E14,SUM(E149,E134,E136,E139)*E14),0)</f>
        <v>11000000</v>
      </c>
      <c r="F107" s="326">
        <f t="shared" si="33"/>
        <v>12800000</v>
      </c>
      <c r="G107" s="326">
        <f t="shared" si="33"/>
        <v>74256000</v>
      </c>
      <c r="H107" s="326">
        <f t="shared" si="33"/>
        <v>75996375</v>
      </c>
      <c r="I107" s="326">
        <f t="shared" si="33"/>
        <v>66134250</v>
      </c>
      <c r="J107" s="326">
        <f t="shared" si="33"/>
        <v>42900000</v>
      </c>
      <c r="K107" s="326">
        <f t="shared" si="33"/>
        <v>13000000</v>
      </c>
      <c r="L107" s="326">
        <f t="shared" si="33"/>
        <v>11500000</v>
      </c>
      <c r="M107" s="326">
        <f t="shared" si="33"/>
        <v>10500000</v>
      </c>
      <c r="N107" s="326">
        <f t="shared" si="33"/>
        <v>10850000</v>
      </c>
      <c r="O107" s="326">
        <f t="shared" si="33"/>
        <v>4500000</v>
      </c>
      <c r="P107" s="339">
        <f t="shared" si="29"/>
        <v>349790625</v>
      </c>
      <c r="Q107" s="341"/>
      <c r="R107" s="341"/>
      <c r="S107" s="341"/>
      <c r="T107" s="341"/>
      <c r="U107" s="341"/>
    </row>
    <row r="108" spans="1:29">
      <c r="A108" s="405" t="s">
        <v>481</v>
      </c>
      <c r="B108" s="326">
        <f>ROUND('UAT6-Jun'!B74/6,0)</f>
        <v>8200000</v>
      </c>
      <c r="C108" s="326">
        <f>ROUND('UAT6-Jun'!C74/6,0)</f>
        <v>6955500</v>
      </c>
      <c r="D108" s="326">
        <f>ROUND('UAT6-Jun'!D74/6,0)</f>
        <v>8978660</v>
      </c>
      <c r="E108" s="326">
        <f>ROUND('UAT6-Jun'!E74/6,0)</f>
        <v>9766667</v>
      </c>
      <c r="F108" s="326">
        <f>ROUND('UAT6-Jun'!F74/6,0)</f>
        <v>11946667</v>
      </c>
      <c r="G108" s="326">
        <f>ROUND('UAT6-Jun'!G74/6,0)</f>
        <v>24752000</v>
      </c>
      <c r="H108" s="326">
        <f>ROUND('UAT6-Jun'!H74/6,0)</f>
        <v>71065313</v>
      </c>
      <c r="I108" s="326">
        <f>ROUND('UAT6-Jun'!I74/6,0)</f>
        <v>65177044</v>
      </c>
      <c r="J108" s="326">
        <f>ROUND('UAT6-Jun'!J74/6,0)</f>
        <v>39650000</v>
      </c>
      <c r="K108" s="326">
        <f>ROUND('UAT6-Jun'!K74/6,0)</f>
        <v>11076667</v>
      </c>
      <c r="L108" s="326">
        <f>ROUND('UAT6-Jun'!L74/6,0)</f>
        <v>76916667</v>
      </c>
      <c r="M108" s="326">
        <f>ROUND('UAT6-Jun'!M74/6,0)</f>
        <v>8000000</v>
      </c>
      <c r="N108" s="326">
        <f>ROUND(('UAT6-Jun'!N74+N28+N30+N32)/6,0)</f>
        <v>9061667</v>
      </c>
      <c r="O108" s="326">
        <f>ROUND('UAT6-Jun'!O74/6,0)</f>
        <v>1875000</v>
      </c>
      <c r="P108" s="339">
        <f t="shared" si="29"/>
        <v>353421852</v>
      </c>
      <c r="Q108" s="341"/>
      <c r="R108" s="341"/>
      <c r="S108" s="341"/>
      <c r="T108" s="341"/>
      <c r="U108" s="341"/>
    </row>
    <row r="109" spans="1:29">
      <c r="A109" s="436" t="s">
        <v>600</v>
      </c>
      <c r="B109" s="326">
        <f t="shared" ref="B109:O109" si="34">SUM(B47:B49)</f>
        <v>955500</v>
      </c>
      <c r="C109" s="326">
        <f t="shared" si="34"/>
        <v>761670</v>
      </c>
      <c r="D109" s="326">
        <f t="shared" si="34"/>
        <v>0</v>
      </c>
      <c r="E109" s="326">
        <f t="shared" si="34"/>
        <v>1155000</v>
      </c>
      <c r="F109" s="326">
        <f t="shared" si="34"/>
        <v>0</v>
      </c>
      <c r="G109" s="326">
        <f t="shared" si="34"/>
        <v>447000</v>
      </c>
      <c r="H109" s="326">
        <f t="shared" si="34"/>
        <v>447000</v>
      </c>
      <c r="I109" s="326">
        <f t="shared" si="34"/>
        <v>447000</v>
      </c>
      <c r="J109" s="326">
        <f t="shared" si="34"/>
        <v>3260000</v>
      </c>
      <c r="K109" s="326">
        <f t="shared" si="34"/>
        <v>0</v>
      </c>
      <c r="L109" s="326">
        <f t="shared" si="34"/>
        <v>1207500</v>
      </c>
      <c r="M109" s="326">
        <f t="shared" si="34"/>
        <v>0</v>
      </c>
      <c r="N109" s="326">
        <f t="shared" si="34"/>
        <v>0</v>
      </c>
      <c r="O109" s="326">
        <f t="shared" si="34"/>
        <v>0</v>
      </c>
      <c r="P109" s="339">
        <f t="shared" si="29"/>
        <v>8680670</v>
      </c>
      <c r="Q109" s="341"/>
      <c r="R109" s="341"/>
      <c r="S109" s="341"/>
      <c r="T109" s="341"/>
      <c r="U109" s="341"/>
      <c r="W109" s="154"/>
      <c r="X109" s="154"/>
      <c r="Y109" s="154"/>
      <c r="Z109" s="154"/>
      <c r="AA109" s="154"/>
      <c r="AB109" s="154"/>
      <c r="AC109" s="154"/>
    </row>
    <row r="110" spans="1:29">
      <c r="A110" s="436" t="s">
        <v>577</v>
      </c>
      <c r="B110" s="326">
        <f t="shared" ref="B110:O110" si="35">IF(OR(B21="A",B21="C"),B104-B109,B104)</f>
        <v>8426540</v>
      </c>
      <c r="C110" s="326">
        <f t="shared" si="35"/>
        <v>6854617</v>
      </c>
      <c r="D110" s="326">
        <f t="shared" si="35"/>
        <v>6000000</v>
      </c>
      <c r="E110" s="326">
        <f t="shared" si="35"/>
        <v>11751907</v>
      </c>
      <c r="F110" s="326">
        <f t="shared" si="35"/>
        <v>12800000</v>
      </c>
      <c r="G110" s="326">
        <f t="shared" si="35"/>
        <v>73809000</v>
      </c>
      <c r="H110" s="326">
        <f t="shared" si="35"/>
        <v>80857540</v>
      </c>
      <c r="I110" s="326">
        <f t="shared" si="35"/>
        <v>66134250</v>
      </c>
      <c r="J110" s="326">
        <f t="shared" si="35"/>
        <v>39640000</v>
      </c>
      <c r="K110" s="326">
        <f t="shared" si="35"/>
        <v>13000000</v>
      </c>
      <c r="L110" s="326">
        <f t="shared" si="35"/>
        <v>10292500</v>
      </c>
      <c r="M110" s="326">
        <f t="shared" si="35"/>
        <v>11596160</v>
      </c>
      <c r="N110" s="326">
        <f t="shared" si="35"/>
        <v>11479616</v>
      </c>
      <c r="O110" s="326">
        <f t="shared" si="35"/>
        <v>4500000</v>
      </c>
      <c r="P110" s="339">
        <f t="shared" si="29"/>
        <v>357142130</v>
      </c>
      <c r="Q110" s="341"/>
      <c r="R110" s="341"/>
      <c r="S110" s="341"/>
      <c r="T110" s="341"/>
      <c r="U110" s="341"/>
    </row>
    <row r="111" spans="1:29">
      <c r="A111" s="436" t="s">
        <v>849</v>
      </c>
      <c r="B111" s="326">
        <f t="shared" ref="B111:O111" si="36">MAX(B110-B24-B23,0)</f>
        <v>0</v>
      </c>
      <c r="C111" s="326">
        <f t="shared" si="36"/>
        <v>0</v>
      </c>
      <c r="D111" s="326">
        <f t="shared" si="36"/>
        <v>0</v>
      </c>
      <c r="E111" s="326">
        <f t="shared" si="36"/>
        <v>11751907</v>
      </c>
      <c r="F111" s="326">
        <f t="shared" si="36"/>
        <v>12800000</v>
      </c>
      <c r="G111" s="326">
        <f t="shared" si="36"/>
        <v>64809000</v>
      </c>
      <c r="H111" s="326">
        <f t="shared" si="36"/>
        <v>80857540</v>
      </c>
      <c r="I111" s="326">
        <f t="shared" si="36"/>
        <v>66134250</v>
      </c>
      <c r="J111" s="326">
        <f t="shared" si="36"/>
        <v>30640000</v>
      </c>
      <c r="K111" s="326">
        <f t="shared" si="36"/>
        <v>4000000</v>
      </c>
      <c r="L111" s="326">
        <f t="shared" si="36"/>
        <v>1292500</v>
      </c>
      <c r="M111" s="326">
        <f t="shared" si="36"/>
        <v>2596160</v>
      </c>
      <c r="N111" s="326">
        <f t="shared" si="36"/>
        <v>2479616</v>
      </c>
      <c r="O111" s="326">
        <f t="shared" si="36"/>
        <v>4500000</v>
      </c>
      <c r="P111" s="339">
        <f t="shared" si="29"/>
        <v>281860973</v>
      </c>
      <c r="Q111" s="341"/>
      <c r="R111" s="341"/>
      <c r="S111" s="341"/>
      <c r="T111" s="341"/>
      <c r="U111" s="341"/>
    </row>
    <row r="112" spans="1:29">
      <c r="A112" s="436" t="s">
        <v>851</v>
      </c>
      <c r="B112" s="326">
        <f>IF(OR(B21="A",B21="C"),ROUND(MAX(B111*{5;10;15;20;25;30;35}%-{0;0.25;0.75;1.65;3.25;5.85;9.85}*1000000,0),0),IF(B21="B",IF(B111&lt;2000000,0,ROUND(B111*10%,0)),ROUND(B111*20%,0)))</f>
        <v>0</v>
      </c>
      <c r="C112" s="326">
        <f>IF(OR(C21="A",C21="C"),ROUND(MAX(C111*{5;10;15;20;25;30;35}%-{0;0.25;0.75;1.65;3.25;5.85;9.85}*1000000,0),0),IF(C21="B",IF(C111&lt;2000000,0,ROUND(C111*10%,0)),ROUND(C111*20%,0)))</f>
        <v>0</v>
      </c>
      <c r="D112" s="326">
        <f>IF(OR(D21="A",D21="C"),ROUND(MAX(D111*{5;10;15;20;25;30;35}%-{0;0.25;0.75;1.65;3.25;5.85;9.85}*1000000,0),0),IF(D21="B",IF(D111&lt;2000000,0,ROUND(D111*10%,0)),ROUND(D111*20%,0)))</f>
        <v>0</v>
      </c>
      <c r="E112" s="326">
        <f>IF(OR(E21="A",E21="C"),ROUND(MAX(E111*{5;10;15;20;25;30;35}%-{0;0.25;0.75;1.65;3.25;5.85;9.85}*1000000,0),0),IF(E21="B",IF(E111&lt;2000000,0,ROUND(E111*10%,0)),ROUND(E111*20%,0)))</f>
        <v>1175191</v>
      </c>
      <c r="F112" s="326">
        <f>IF(OR(F21="A",F21="C"),ROUND(MAX(F111*{5;10;15;20;25;30;35}%-{0;0.25;0.75;1.65;3.25;5.85;9.85}*1000000,0),0),IF(F21="B",IF(F111&lt;2000000,0,ROUND(F111*10%,0)),ROUND(F111*20%,0)))</f>
        <v>1280000</v>
      </c>
      <c r="G112" s="326">
        <f>IF(OR(G21="A",G21="C"),ROUND(MAX(G111*{5;10;15;20;25;30;35}%-{0;0.25;0.75;1.65;3.25;5.85;9.85}*1000000,0),0),IF(G21="B",IF(G111&lt;2000000,0,ROUND(G111*10%,0)),ROUND(G111*20%,0)))</f>
        <v>13592700</v>
      </c>
      <c r="H112" s="326">
        <f>IF(OR(H21="A",H21="C"),ROUND(MAX(H111*{5;10;15;20;25;30;35}%-{0;0.25;0.75;1.65;3.25;5.85;9.85}*1000000,0),0),IF(H21="B",IF(H111&lt;2000000,0,ROUND(H111*10%,0)),ROUND(H111*20%,0)))</f>
        <v>16171508</v>
      </c>
      <c r="I112" s="326">
        <f>IF(OR(I21="A",I21="C"),ROUND(MAX(I111*{5;10;15;20;25;30;35}%-{0;0.25;0.75;1.65;3.25;5.85;9.85}*1000000,0),0),IF(I21="B",IF(I111&lt;2000000,0,ROUND(I111*10%,0)),ROUND(I111*20%,0)))</f>
        <v>13226850</v>
      </c>
      <c r="J112" s="326">
        <f>IF(OR(J21="A",J21="C"),ROUND(MAX(J111*{5;10;15;20;25;30;35}%-{0;0.25;0.75;1.65;3.25;5.85;9.85}*1000000,0),0),IF(J21="B",IF(J111&lt;2000000,0,ROUND(J111*10%,0)),ROUND(J111*20%,0)))</f>
        <v>4478000</v>
      </c>
      <c r="K112" s="326">
        <f>IF(OR(K21="A",K21="C"),ROUND(MAX(K111*{5;10;15;20;25;30;35}%-{0;0.25;0.75;1.65;3.25;5.85;9.85}*1000000,0),0),IF(K21="B",IF(K111&lt;2000000,0,ROUND(K111*10%,0)),ROUND(K111*20%,0)))</f>
        <v>200000</v>
      </c>
      <c r="L112" s="326">
        <f>IF(OR(L21="A",L21="C"),ROUND(MAX(L111*{5;10;15;20;25;30;35}%-{0;0.25;0.75;1.65;3.25;5.85;9.85}*1000000,0),0),IF(L21="B",IF(L111&lt;2000000,0,ROUND(L111*10%,0)),ROUND(L111*20%,0)))</f>
        <v>64625</v>
      </c>
      <c r="M112" s="326">
        <f>IF(OR(M21="A",M21="C"),ROUND(MAX(M111*{5;10;15;20;25;30;35}%-{0;0.25;0.75;1.65;3.25;5.85;9.85}*1000000,0),0),IF(M21="B",IF(M111&lt;2000000,0,ROUND(M111*10%,0)),ROUND(M111*20%,0)))</f>
        <v>129808</v>
      </c>
      <c r="N112" s="326">
        <f>IF(OR(N21="A",N21="C"),ROUND(MAX(N111*{5;10;15;20;25;30;35}%-{0;0.25;0.75;1.65;3.25;5.85;9.85}*1000000,0),0),IF(N21="B",IF(N111&lt;2000000,0,ROUND(N111*10%,0)),ROUND(N111*20%,0)))</f>
        <v>123981</v>
      </c>
      <c r="O112" s="326">
        <f>IF(OR(O21="A",O21="C"),ROUND(MAX(O111*{5;10;15;20;25;30;35}%-{0;0.25;0.75;1.65;3.25;5.85;9.85}*1000000,0),0),IF(O21="B",IF(O111&lt;2000000,0,ROUND(O111*10%,0)),ROUND(O111*20%,0)))</f>
        <v>450000</v>
      </c>
      <c r="P112" s="339">
        <f t="shared" si="29"/>
        <v>50892663</v>
      </c>
      <c r="Q112" s="341"/>
      <c r="R112" s="374"/>
      <c r="S112" s="374"/>
      <c r="T112" s="374"/>
      <c r="U112" s="374"/>
    </row>
    <row r="113" spans="1:31">
      <c r="A113" s="436" t="s">
        <v>866</v>
      </c>
      <c r="B113" s="326">
        <f>B104+'UAT6-Jun'!B125</f>
        <v>79186045</v>
      </c>
      <c r="C113" s="326">
        <f>C104+'UAT6-Jun'!C125</f>
        <v>65610575</v>
      </c>
      <c r="D113" s="326">
        <f>D104+'UAT6-Jun'!D125</f>
        <v>78771713</v>
      </c>
      <c r="E113" s="326">
        <f>E104+'UAT6-Jun'!E125</f>
        <v>154878108</v>
      </c>
      <c r="F113" s="326">
        <f>F104+'UAT6-Jun'!F125</f>
        <v>86400000</v>
      </c>
      <c r="G113" s="326">
        <f>G104+'UAT6-Jun'!G125</f>
        <v>447553825</v>
      </c>
      <c r="H113" s="326">
        <f>H104+'UAT6-Jun'!H125</f>
        <v>607253427</v>
      </c>
      <c r="I113" s="326">
        <f>I104+'UAT6-Jun'!I125</f>
        <v>575773580</v>
      </c>
      <c r="J113" s="326">
        <f>J104+'UAT6-Jun'!J125</f>
        <v>251973914</v>
      </c>
      <c r="K113" s="326">
        <f>K104+'UAT6-Jun'!K125</f>
        <v>78000000</v>
      </c>
      <c r="L113" s="326">
        <f>L104+'UAT6-Jun'!L125</f>
        <v>473000000</v>
      </c>
      <c r="M113" s="326">
        <f>M104+'UAT6-Jun'!M125</f>
        <v>60461540</v>
      </c>
      <c r="N113" s="326">
        <f>N104+'UAT6-Jun'!N125</f>
        <v>65629616</v>
      </c>
      <c r="O113" s="326">
        <f>O104+'UAT6-Jun'!O125</f>
        <v>29750000</v>
      </c>
      <c r="P113" s="339">
        <f t="shared" si="29"/>
        <v>3054242343</v>
      </c>
      <c r="Q113" s="341"/>
      <c r="R113" s="341"/>
      <c r="S113" s="341"/>
      <c r="T113" s="341"/>
      <c r="U113" s="341"/>
    </row>
    <row r="114" spans="1:31">
      <c r="A114" s="436" t="s">
        <v>486</v>
      </c>
      <c r="B114" s="326">
        <f>B112+'UAT6-Jun'!B126</f>
        <v>325093</v>
      </c>
      <c r="C114" s="326">
        <f>C112+'UAT6-Jun'!C126</f>
        <v>0</v>
      </c>
      <c r="D114" s="326">
        <f>D112+'UAT6-Jun'!D126</f>
        <v>678837</v>
      </c>
      <c r="E114" s="326">
        <f>E112+'UAT6-Jun'!E126</f>
        <v>15487813</v>
      </c>
      <c r="F114" s="326">
        <f>F112+'UAT6-Jun'!F126</f>
        <v>8640000</v>
      </c>
      <c r="G114" s="326">
        <f>G112+'UAT6-Jun'!G126</f>
        <v>89189548</v>
      </c>
      <c r="H114" s="326">
        <f>H112+'UAT6-Jun'!H126</f>
        <v>121450686</v>
      </c>
      <c r="I114" s="326">
        <f>I112+'UAT6-Jun'!I126</f>
        <v>115154716</v>
      </c>
      <c r="J114" s="326">
        <f>J112+'UAT6-Jun'!J126</f>
        <v>24989389</v>
      </c>
      <c r="K114" s="326">
        <f>K112+'UAT6-Jun'!K126</f>
        <v>750000</v>
      </c>
      <c r="L114" s="326">
        <f>L112+'UAT6-Jun'!L126</f>
        <v>87163750</v>
      </c>
      <c r="M114" s="326">
        <f>M112+'UAT6-Jun'!M126</f>
        <v>248077</v>
      </c>
      <c r="N114" s="326">
        <f>N112+'UAT6-Jun'!N126</f>
        <v>131481</v>
      </c>
      <c r="O114" s="326">
        <f>O112+'UAT6-Jun'!O126</f>
        <v>2975000</v>
      </c>
      <c r="P114" s="339">
        <f t="shared" si="29"/>
        <v>467184390</v>
      </c>
      <c r="Q114" s="341"/>
      <c r="R114" s="341"/>
      <c r="S114" s="341"/>
      <c r="T114" s="341"/>
      <c r="U114" s="341"/>
    </row>
    <row r="115" spans="1:31">
      <c r="A115" s="436" t="s">
        <v>487</v>
      </c>
      <c r="B115" s="326">
        <f>B109+'UAT6-Jun'!B127</f>
        <v>6058500</v>
      </c>
      <c r="C115" s="326">
        <f>C109+'UAT6-Jun'!C127</f>
        <v>4948965</v>
      </c>
      <c r="D115" s="326">
        <f>D109+'UAT6-Jun'!D127</f>
        <v>1312500</v>
      </c>
      <c r="E115" s="326">
        <f>E109+'UAT6-Jun'!E127</f>
        <v>7035000</v>
      </c>
      <c r="F115" s="326">
        <f>F109+'UAT6-Jun'!F127</f>
        <v>0</v>
      </c>
      <c r="G115" s="326">
        <f>G109+'UAT6-Jun'!G127</f>
        <v>1281000</v>
      </c>
      <c r="H115" s="326">
        <f>H109+'UAT6-Jun'!H127</f>
        <v>2949000</v>
      </c>
      <c r="I115" s="326">
        <f>I109+'UAT6-Jun'!I127</f>
        <v>2532000</v>
      </c>
      <c r="J115" s="326">
        <f>J109+'UAT6-Jun'!J127</f>
        <v>18454000</v>
      </c>
      <c r="K115" s="326">
        <f>K109+'UAT6-Jun'!K127</f>
        <v>0</v>
      </c>
      <c r="L115" s="326">
        <f>L109+'UAT6-Jun'!L127</f>
        <v>19800000</v>
      </c>
      <c r="M115" s="326">
        <f>M109+'UAT6-Jun'!M127</f>
        <v>0</v>
      </c>
      <c r="N115" s="326">
        <f>N109+'UAT6-Jun'!N127</f>
        <v>0</v>
      </c>
      <c r="O115" s="394">
        <f>O109+'UAT6-Jun'!O127</f>
        <v>0</v>
      </c>
      <c r="P115" s="340">
        <f t="shared" si="29"/>
        <v>64370965</v>
      </c>
      <c r="Q115" s="341"/>
      <c r="R115" s="341"/>
      <c r="S115" s="341"/>
      <c r="T115" s="341"/>
      <c r="U115" s="341"/>
    </row>
    <row r="116" spans="1:31">
      <c r="A116" s="405"/>
      <c r="B116" s="14"/>
      <c r="C116" s="7"/>
      <c r="D116" s="7"/>
      <c r="E116" s="316"/>
      <c r="F116" s="7"/>
      <c r="G116" s="7"/>
      <c r="H116" s="7"/>
      <c r="I116" s="7"/>
      <c r="J116" s="7"/>
      <c r="K116" s="316"/>
      <c r="L116" s="316"/>
      <c r="M116" s="316"/>
      <c r="N116" s="316"/>
      <c r="O116" s="375"/>
      <c r="P116" s="340"/>
      <c r="Q116" s="341"/>
      <c r="R116" s="341"/>
      <c r="S116" s="341"/>
      <c r="T116" s="341"/>
      <c r="U116" s="341"/>
    </row>
    <row r="117" spans="1:31" ht="15.6">
      <c r="A117" s="404" t="s">
        <v>775</v>
      </c>
      <c r="B117" s="14"/>
      <c r="C117" s="7"/>
      <c r="D117" s="7"/>
      <c r="E117" s="316"/>
      <c r="F117" s="7"/>
      <c r="G117" s="7"/>
      <c r="H117" s="7"/>
      <c r="I117" s="7"/>
      <c r="J117" s="7"/>
      <c r="K117" s="316"/>
      <c r="L117" s="316"/>
      <c r="M117" s="316"/>
      <c r="N117" s="316"/>
      <c r="O117" s="375"/>
      <c r="P117" s="340"/>
      <c r="Q117" s="341"/>
      <c r="R117" s="341"/>
      <c r="S117" s="341"/>
      <c r="T117" s="341"/>
      <c r="U117" s="341"/>
    </row>
    <row r="118" spans="1:31">
      <c r="A118" s="436" t="s">
        <v>431</v>
      </c>
      <c r="B118" s="531">
        <f>'UAT6-Jun'!B130</f>
        <v>160</v>
      </c>
      <c r="C118" s="531">
        <f>'UAT6-Jun'!C130</f>
        <v>144</v>
      </c>
      <c r="D118" s="531">
        <f>'UAT6-Jun'!D130</f>
        <v>0</v>
      </c>
      <c r="E118" s="531">
        <f>'UAT6-Jun'!E130</f>
        <v>160</v>
      </c>
      <c r="F118" s="531">
        <f>'UAT6-Jun'!F130</f>
        <v>128</v>
      </c>
      <c r="G118" s="531">
        <f>'UAT6-Jun'!G130</f>
        <v>102.14</v>
      </c>
      <c r="H118" s="531">
        <f>'UAT6-Jun'!H130</f>
        <v>80</v>
      </c>
      <c r="I118" s="531">
        <f>'UAT6-Jun'!I130</f>
        <v>0</v>
      </c>
      <c r="J118" s="531">
        <f>'UAT6-Jun'!J130</f>
        <v>88.64</v>
      </c>
      <c r="K118" s="531">
        <f>'UAT6-Jun'!K130</f>
        <v>160</v>
      </c>
      <c r="L118" s="531">
        <f>'UAT6-Jun'!L130</f>
        <v>160</v>
      </c>
      <c r="M118" s="531">
        <f>'UAT6-Jun'!M130</f>
        <v>160</v>
      </c>
      <c r="N118" s="531">
        <f>'UAT6-Jun'!N130</f>
        <v>160</v>
      </c>
      <c r="O118" s="531">
        <f>'UAT6-Jun'!O130</f>
        <v>85.699999999999989</v>
      </c>
      <c r="P118" s="653">
        <f t="shared" si="29"/>
        <v>1588.48</v>
      </c>
      <c r="Q118" s="341"/>
      <c r="R118" s="341"/>
      <c r="S118" s="341"/>
      <c r="T118" s="341"/>
      <c r="U118" s="341"/>
      <c r="AE118" s="154"/>
    </row>
    <row r="119" spans="1:31">
      <c r="A119" s="436" t="s">
        <v>432</v>
      </c>
      <c r="B119" s="531">
        <f>'UAT6-Jun'!B131</f>
        <v>80</v>
      </c>
      <c r="C119" s="531">
        <f>'UAT6-Jun'!C131</f>
        <v>72</v>
      </c>
      <c r="D119" s="531">
        <f>'UAT6-Jun'!D131</f>
        <v>33.1</v>
      </c>
      <c r="E119" s="531">
        <f>'UAT6-Jun'!E131</f>
        <v>80</v>
      </c>
      <c r="F119" s="531">
        <f>'UAT6-Jun'!F131</f>
        <v>64</v>
      </c>
      <c r="G119" s="531">
        <f>'UAT6-Jun'!G131</f>
        <v>51.07</v>
      </c>
      <c r="H119" s="531">
        <f>'UAT6-Jun'!H131</f>
        <v>40</v>
      </c>
      <c r="I119" s="531">
        <f>'UAT6-Jun'!I131</f>
        <v>0</v>
      </c>
      <c r="J119" s="531">
        <f>'UAT6-Jun'!J131</f>
        <v>44.32</v>
      </c>
      <c r="K119" s="531">
        <f>'UAT6-Jun'!K131</f>
        <v>80</v>
      </c>
      <c r="L119" s="531">
        <f>'UAT6-Jun'!L131</f>
        <v>80</v>
      </c>
      <c r="M119" s="531">
        <f>'UAT6-Jun'!M131</f>
        <v>80</v>
      </c>
      <c r="N119" s="531">
        <f>'UAT6-Jun'!N131</f>
        <v>80</v>
      </c>
      <c r="O119" s="531">
        <f>'UAT6-Jun'!O131</f>
        <v>42.849999999999994</v>
      </c>
      <c r="P119" s="653">
        <f t="shared" si="29"/>
        <v>827.34</v>
      </c>
      <c r="Q119" s="341"/>
      <c r="R119" s="341"/>
      <c r="S119" s="341"/>
      <c r="T119" s="341"/>
      <c r="U119" s="341"/>
    </row>
    <row r="120" spans="1:31">
      <c r="A120" s="436" t="s">
        <v>433</v>
      </c>
      <c r="B120" s="526">
        <v>0</v>
      </c>
      <c r="C120" s="526">
        <v>0</v>
      </c>
      <c r="D120" s="526"/>
      <c r="E120" s="526">
        <v>0</v>
      </c>
      <c r="F120" s="526">
        <v>0</v>
      </c>
      <c r="G120" s="526">
        <v>0</v>
      </c>
      <c r="H120" s="526">
        <v>0</v>
      </c>
      <c r="I120" s="526">
        <v>0</v>
      </c>
      <c r="J120" s="526">
        <v>0</v>
      </c>
      <c r="K120" s="526">
        <v>0</v>
      </c>
      <c r="L120" s="526">
        <v>0</v>
      </c>
      <c r="M120" s="526">
        <v>0</v>
      </c>
      <c r="N120" s="526">
        <v>0</v>
      </c>
      <c r="O120" s="526">
        <v>0</v>
      </c>
      <c r="P120" s="653">
        <f t="shared" si="29"/>
        <v>0</v>
      </c>
      <c r="Q120" s="516"/>
      <c r="R120" s="516"/>
      <c r="S120" s="516"/>
      <c r="T120" s="516"/>
      <c r="U120" s="516"/>
    </row>
    <row r="121" spans="1:31">
      <c r="A121" s="436" t="s">
        <v>434</v>
      </c>
      <c r="B121" s="526">
        <v>0</v>
      </c>
      <c r="C121" s="526">
        <v>0</v>
      </c>
      <c r="D121" s="526"/>
      <c r="E121" s="526">
        <v>0</v>
      </c>
      <c r="F121" s="526">
        <v>0</v>
      </c>
      <c r="G121" s="526">
        <v>0</v>
      </c>
      <c r="H121" s="526">
        <v>0</v>
      </c>
      <c r="I121" s="526">
        <v>0</v>
      </c>
      <c r="J121" s="526">
        <v>0</v>
      </c>
      <c r="K121" s="526">
        <v>0</v>
      </c>
      <c r="L121" s="526">
        <v>0</v>
      </c>
      <c r="M121" s="526">
        <v>0</v>
      </c>
      <c r="N121" s="526">
        <v>0</v>
      </c>
      <c r="O121" s="526">
        <v>0</v>
      </c>
      <c r="P121" s="653">
        <f t="shared" si="29"/>
        <v>0</v>
      </c>
      <c r="R121" s="341"/>
      <c r="S121" s="341"/>
      <c r="T121" s="341"/>
      <c r="U121" s="341"/>
      <c r="AD121" s="154"/>
    </row>
    <row r="122" spans="1:31">
      <c r="A122" s="436" t="s">
        <v>435</v>
      </c>
      <c r="B122" s="536">
        <f>'UAT6-Jun'!B134</f>
        <v>15.379999999999999</v>
      </c>
      <c r="C122" s="536">
        <f>'UAT6-Jun'!C134</f>
        <v>0</v>
      </c>
      <c r="D122" s="536">
        <f>'UAT6-Jun'!D134</f>
        <v>0</v>
      </c>
      <c r="E122" s="536">
        <f>'UAT6-Jun'!E134</f>
        <v>0</v>
      </c>
      <c r="F122" s="536">
        <f>'UAT6-Jun'!F134</f>
        <v>0</v>
      </c>
      <c r="G122" s="536">
        <f>'UAT6-Jun'!G134</f>
        <v>0</v>
      </c>
      <c r="H122" s="536">
        <f>'UAT6-Jun'!H134</f>
        <v>0</v>
      </c>
      <c r="I122" s="536">
        <f>'UAT6-Jun'!I134</f>
        <v>0</v>
      </c>
      <c r="J122" s="536">
        <f>'UAT6-Jun'!J134</f>
        <v>8</v>
      </c>
      <c r="K122" s="536">
        <f>'UAT6-Jun'!K134</f>
        <v>0</v>
      </c>
      <c r="L122" s="536">
        <f>'UAT6-Jun'!L134</f>
        <v>0</v>
      </c>
      <c r="M122" s="536">
        <f>'UAT6-Jun'!M134</f>
        <v>0</v>
      </c>
      <c r="N122" s="536">
        <f>'UAT6-Jun'!N134</f>
        <v>0</v>
      </c>
      <c r="O122" s="536">
        <f>'UAT6-Jun'!O134</f>
        <v>0</v>
      </c>
      <c r="P122" s="653">
        <f t="shared" si="29"/>
        <v>23.38</v>
      </c>
      <c r="R122" s="341"/>
      <c r="S122" s="341"/>
      <c r="T122" s="341"/>
      <c r="U122" s="341"/>
    </row>
    <row r="123" spans="1:31">
      <c r="A123" s="436"/>
      <c r="F123" s="5"/>
      <c r="G123" s="5"/>
      <c r="H123" s="5"/>
      <c r="I123" s="5"/>
      <c r="P123" s="341"/>
      <c r="R123" s="341"/>
      <c r="S123" s="341"/>
      <c r="T123" s="341"/>
      <c r="U123" s="341"/>
    </row>
    <row r="124" spans="1:31" s="154" customFormat="1" ht="15.6">
      <c r="A124" s="404" t="s">
        <v>436</v>
      </c>
      <c r="B124" s="5"/>
      <c r="C124" s="5"/>
      <c r="D124" s="5"/>
      <c r="E124" s="5"/>
      <c r="F124"/>
      <c r="G124"/>
      <c r="H124"/>
      <c r="I124"/>
      <c r="J124"/>
      <c r="K124"/>
      <c r="L124"/>
      <c r="M124"/>
      <c r="N124"/>
      <c r="O124"/>
      <c r="P124"/>
      <c r="Q124"/>
      <c r="R124" s="341"/>
      <c r="S124" s="341"/>
      <c r="T124" s="341"/>
      <c r="U124" s="341"/>
      <c r="V124" s="5"/>
      <c r="W124" s="5"/>
      <c r="X124" s="5"/>
      <c r="Y124" s="5"/>
      <c r="Z124" s="5"/>
      <c r="AA124" s="5"/>
      <c r="AB124" s="5"/>
      <c r="AC124" s="5"/>
      <c r="AD124"/>
      <c r="AE124"/>
    </row>
    <row r="125" spans="1:31">
      <c r="A125" s="6" t="s">
        <v>809</v>
      </c>
      <c r="B125" s="528">
        <f>IF(OR(B12="S",B12="C"),0,IF(OR(B12="1",B12="3"),ROUND(20*8*B18/365,5),ROUND(20*'New Hire'!C24*B18/365,5)))+'UAT6-Jun'!B137</f>
        <v>92.931489999999997</v>
      </c>
      <c r="C125" s="528">
        <f>IF(OR(C12="S",C12="C"),0,IF(OR(C12="1",C12="3"),ROUND(20*8*C18/365,5),ROUND(20*'New Hire'!D24*C18/365,5)))+'UAT6-Jun'!C137</f>
        <v>83.638380000000012</v>
      </c>
      <c r="D125" s="528"/>
      <c r="E125" s="528">
        <f>IF(OR(E12="S",E12="C"),0,IF(OR(E12="1",E12="3"),ROUND(20*8*E18/365,5),ROUND(20*'New Hire'!F24*E18/365,5)))+'UAT6-Jun'!E137</f>
        <v>92.931489999999997</v>
      </c>
      <c r="F125" s="528">
        <f>IF(OR(F12="S",F12="C"),0,IF(OR(F12="1",F12="3"),ROUND(20*8*F18/365,5),ROUND(20*'New Hire'!G24*F18/365,5)))+'UAT6-Jun'!F137</f>
        <v>74.345199999999991</v>
      </c>
      <c r="G125" s="528">
        <f>IF(OR(G12="S",G12="C"),0,IF(OR(G12="1",G12="3"),ROUND(20*8*G18/365,5),ROUND(20*'New Hire'!H24*G18/365,5)))+'UAT6-Jun'!G137</f>
        <v>33.315060000000003</v>
      </c>
      <c r="H125" s="528">
        <f>IF(OR(H12="S",H12="C"),0,IF(OR(H12="1",H12="3"),ROUND(20*8*H18/365,5),ROUND(20*'New Hire'!I24*H18/365,5)))+'UAT6-Jun'!H137</f>
        <v>46.46575</v>
      </c>
      <c r="I125" s="528">
        <f>IF(OR(I12="S",I12="C"),0,IF(OR(I12="1",I12="3"),ROUND(20*8*I18/365,5),ROUND(20*'New Hire'!J24*I18/365,5)))+'UAT6-Jun'!I137</f>
        <v>0</v>
      </c>
      <c r="J125" s="528">
        <f>IF(OR(J12="S",J12="C"),0,IF(OR(J12="1",J12="3"),ROUND(20*8*J18/365,5),ROUND(20*'New Hire'!K24*J18/365,5)))+'UAT6-Jun'!J137</f>
        <v>48.394500000000008</v>
      </c>
      <c r="K125" s="528">
        <f>IF(OR(K12="S",K12="C"),0,IF(OR(K12="1",K12="3"),ROUND(20*8*K18/365,5),ROUND(20*'New Hire'!L24*K18/365,5)))+'UAT6-Jun'!K137</f>
        <v>92.931489999999997</v>
      </c>
      <c r="L125" s="528">
        <f>IF(OR(L12="S",L12="C"),0,IF(OR(L12="1",L12="3"),ROUND(20*8*L18/365,5),ROUND(20*'New Hire'!M24*L18/365,5)))+'UAT6-Jun'!L137</f>
        <v>92.931489999999997</v>
      </c>
      <c r="M125" s="528">
        <f>IF(OR(M12="S",M12="C"),0,IF(OR(M12="1",M12="3"),ROUND(20*8*M18/365,5),ROUND(20*'New Hire'!N24*M18/365,5)))+'UAT6-Jun'!M137</f>
        <v>92.931489999999997</v>
      </c>
      <c r="N125" s="528">
        <f>IF(OR(N12="S",N12="C"),0,IF(OR(N12="1",N12="3"),ROUND(20*8*N18/365,5),ROUND(20*'New Hire'!O24*N18/365,5)))+'UAT6-Jun'!N137</f>
        <v>92.931489999999997</v>
      </c>
      <c r="O125" s="528">
        <f>IF(OR(O12="S",O12="C"),0,IF(OR(O12="1",O12="3"),ROUND(20*8*O18/365,5),ROUND(20*'New Hire'!P24*O18/365,5)))+'UAT6-Jun'!O137</f>
        <v>40.328760000000003</v>
      </c>
    </row>
    <row r="126" spans="1:31">
      <c r="A126" s="6" t="s">
        <v>810</v>
      </c>
      <c r="B126" s="529">
        <f>IF(OR(B12="S",B12="C"),0,IF(OR(B12="1",B12="3"),ROUND(10*8*B18/365,5),ROUND(10*'New Hire'!C24*B18/365,5)))+'UAT6-Jun'!B138</f>
        <v>46.46575</v>
      </c>
      <c r="C126" s="529">
        <f>IF(OR(C12="S",C12="C"),0,IF(OR(C12="1",C12="3"),ROUND(10*8*C18/365,5),ROUND(10*'New Hire'!D24*C18/365,5)))+'UAT6-Jun'!C138</f>
        <v>41.819190000000006</v>
      </c>
      <c r="D126" s="529"/>
      <c r="E126" s="529">
        <f>IF(OR(E12="S",E12="C"),0,IF(OR(E12="1",E12="3"),ROUND(10*8*E18/365,5),ROUND(10*'New Hire'!F24*E18/365,5)))+'UAT6-Jun'!E138</f>
        <v>46.46575</v>
      </c>
      <c r="F126" s="529">
        <f>IF(OR(F12="S",F12="C"),0,IF(OR(F12="1",F12="3"),ROUND(10*8*F18/365,5),ROUND(10*'New Hire'!G24*F18/365,5)))+'UAT6-Jun'!F138</f>
        <v>37.172609999999999</v>
      </c>
      <c r="G126" s="529">
        <f>IF(OR(G12="S",G12="C"),0,IF(OR(G12="1",G12="3"),ROUND(10*8*G18/365,5),ROUND(10*'New Hire'!H24*G18/365,5)))+'UAT6-Jun'!G138</f>
        <v>16.657530000000001</v>
      </c>
      <c r="H126" s="529">
        <f>IF(OR(H12="S",H12="C"),0,IF(OR(H12="1",H12="3"),ROUND(10*8*H18/365,5),ROUND(10*'New Hire'!I24*H18/365,5)))+'UAT6-Jun'!H138</f>
        <v>23.232869999999998</v>
      </c>
      <c r="I126" s="529">
        <f>IF(OR(I12="S",I12="C"),0,IF(OR(I12="1",I12="3"),ROUND(10*8*I18/365,5),ROUND(10*'New Hire'!J24*I18/365,5)))+'UAT6-Jun'!I138</f>
        <v>0</v>
      </c>
      <c r="J126" s="529">
        <f>IF(OR(J12="S",J12="C"),0,IF(OR(J12="1",J12="3"),ROUND(10*8*J18/365,5),ROUND(10*'New Hire'!K24*J18/365,5)))+'UAT6-Jun'!J138</f>
        <v>24.19726</v>
      </c>
      <c r="K126" s="529">
        <f>IF(OR(K12="S",K12="C"),0,IF(OR(K12="1",K12="3"),ROUND(10*8*K18/365,5),ROUND(10*'New Hire'!L24*K18/365,5)))+'UAT6-Jun'!K138</f>
        <v>46.46575</v>
      </c>
      <c r="L126" s="529">
        <f>IF(OR(L12="S",L12="C"),0,IF(OR(L12="1",L12="3"),ROUND(10*8*L18/365,5),ROUND(10*'New Hire'!M24*L18/365,5)))+'UAT6-Jun'!L138</f>
        <v>46.46575</v>
      </c>
      <c r="M126" s="529">
        <f>IF(OR(M12="S",M12="C"),0,IF(OR(M12="1",M12="3"),ROUND(10*8*M18/365,5),ROUND(10*'New Hire'!N24*M18/365,5)))+'UAT6-Jun'!M138</f>
        <v>46.46575</v>
      </c>
      <c r="N126" s="529">
        <f>IF(OR(N12="S",N12="C"),0,IF(OR(N12="1",N12="3"),ROUND(10*8*N18/365,5),ROUND(10*'New Hire'!O24*N18/365,5)))+'UAT6-Jun'!N138</f>
        <v>46.46575</v>
      </c>
      <c r="O126" s="529">
        <f>IF(OR(O12="S",O12="C"),0,IF(OR(O12="1",O12="3"),ROUND(10*8*O18/365,5),ROUND(10*'New Hire'!P24*O18/365,5)))+'UAT6-Jun'!O138</f>
        <v>20.164380000000001</v>
      </c>
    </row>
    <row r="127" spans="1:31">
      <c r="A127" s="436" t="s">
        <v>779</v>
      </c>
      <c r="B127" s="528">
        <f>IF('New Hire'!C78=1,ROUND(25/10*B14%/365,5)*B18,0)+'UAT6-Jun'!B139</f>
        <v>0</v>
      </c>
      <c r="C127" s="528">
        <f>IF('New Hire'!D78=1,ROUND(25/10*C14%/365,5)*C18,0)+'UAT6-Jun'!C139</f>
        <v>0.37261999999999995</v>
      </c>
      <c r="D127" s="528"/>
      <c r="E127" s="528">
        <f>IF('New Hire'!F78=1,ROUND(25/10*E14%/365,5)*E18,0)+'UAT6-Jun'!E139</f>
        <v>0</v>
      </c>
      <c r="F127" s="528">
        <f>IF('New Hire'!G78=1,ROUND(25/10*F14%/365,5)*F18,0)+'UAT6-Jun'!F139</f>
        <v>0.33096999999999993</v>
      </c>
      <c r="G127" s="528">
        <f>IF('New Hire'!H78=1,ROUND(25/10*G14%/365,5)*G18,0)+'UAT6-Jun'!G139</f>
        <v>0</v>
      </c>
      <c r="H127" s="528">
        <f>IF('New Hire'!I78=1,ROUND(25/10*H14%/365,5)*H18,0)+'UAT6-Jun'!H139</f>
        <v>0</v>
      </c>
      <c r="I127" s="528">
        <f>IF('New Hire'!J78=1,ROUND(25/10*I14%/365,5)*I18,0)+'UAT6-Jun'!I139</f>
        <v>0</v>
      </c>
      <c r="J127" s="528">
        <f>IF('New Hire'!K78=1,ROUND(25/10*J14%/365,5)*J18,0)+'UAT6-Jun'!J139</f>
        <v>0</v>
      </c>
      <c r="K127" s="528">
        <f>IF('New Hire'!L78=1,ROUND(25/10*K14%/365,5)*K18,0)+'UAT6-Jun'!K139</f>
        <v>0</v>
      </c>
      <c r="L127" s="528">
        <f>IF('New Hire'!M78=1,ROUND(25/10*L14%/365,5)*L18,0)+'UAT6-Jun'!L139</f>
        <v>0</v>
      </c>
      <c r="M127" s="528">
        <f>IF('New Hire'!N78=1,ROUND(25/10*M14%/365,5)*M18,0)+'UAT6-Jun'!M139</f>
        <v>0</v>
      </c>
      <c r="N127" s="528">
        <f>IF('New Hire'!O78=1,ROUND(25/10*N14%/365,5)*N18,0)+'UAT6-Jun'!N139</f>
        <v>0</v>
      </c>
      <c r="O127" s="528">
        <f>IF('New Hire'!P78=1,ROUND(25/10*O14%/365,5)*O18,0)+'UAT6-Jun'!O139</f>
        <v>0</v>
      </c>
      <c r="P127" s="285"/>
    </row>
    <row r="128" spans="1:31">
      <c r="A128" s="436" t="s">
        <v>780</v>
      </c>
      <c r="B128" s="529">
        <f>IF(B12="C",0,IF('New Hire'!C78=1,0,ROUND(5/5*B14%/365,5)*B18)+'UAT6-Jun'!B140)</f>
        <v>0.16624999999999995</v>
      </c>
      <c r="C128" s="529">
        <f>IF(C12="C",0,IF('New Hire'!D78=1,0,ROUND(5/5*C14%/365,5)*C18)+'UAT6-Jun'!C140)</f>
        <v>0</v>
      </c>
      <c r="D128" s="529"/>
      <c r="E128" s="529">
        <f>IF(E12="C",0,IF('New Hire'!F78=1,0,ROUND(5/5*E14%/365,5)*E18)+'UAT6-Jun'!E140)</f>
        <v>0.16624999999999995</v>
      </c>
      <c r="F128" s="529">
        <f>IF(F12="C",0,IF('New Hire'!G78=1,0,ROUND(5/5*F14%/365,5)*F18)+'UAT6-Jun'!F140)</f>
        <v>0</v>
      </c>
      <c r="G128" s="529">
        <f>IF(G12="C",0,IF('New Hire'!H78=1,0,ROUND(5/5*G14%/365,5)*G18)+'UAT6-Jun'!G140)</f>
        <v>2.2799999999999999E-3</v>
      </c>
      <c r="H128" s="529">
        <f>IF(H12="C",0,IF('New Hire'!I78=1,0,ROUND(5/5*H14%/365,5)*H18)+'UAT6-Jun'!H140)</f>
        <v>8.2359999999999989E-2</v>
      </c>
      <c r="I128" s="529">
        <f>IF(I12="C",0,IF('New Hire'!J78=1,0,ROUND(5/5*I14%/365,5)*I18)+'UAT6-Jun'!I140)</f>
        <v>8.9160000000000003E-2</v>
      </c>
      <c r="J128" s="529">
        <f>IF(J12="C",0,IF('New Hire'!K78=1,0,ROUND(5/5*J14%/365,5)*J18)+'UAT6-Jun'!J140)</f>
        <v>5.3900000000000017E-2</v>
      </c>
      <c r="K128" s="529">
        <f>IF(K12="C",0,IF('New Hire'!L78=1,0,ROUND(5/5*K14%/365,5)*K18)+'UAT6-Jun'!K140)</f>
        <v>0.16624999999999995</v>
      </c>
      <c r="L128" s="529">
        <f>IF(L12="C",0,IF('New Hire'!M78=1,0,ROUND(5/5*L14%/365,5)*L18)+'UAT6-Jun'!L140)</f>
        <v>0.16624999999999995</v>
      </c>
      <c r="M128" s="529">
        <f>IF(M12="C",0,IF('New Hire'!N78=1,0,ROUND(5/5*M14%/365,5)*M18)+'UAT6-Jun'!M140)</f>
        <v>0.16624999999999995</v>
      </c>
      <c r="N128" s="529">
        <f>IF(N12="C",0,IF('New Hire'!O78=1,0,ROUND(5/5*N14%/365,5)*N18)+'UAT6-Jun'!N140)</f>
        <v>0.16624999999999995</v>
      </c>
      <c r="O128" s="529">
        <f>IF(O12="C",0,IF('New Hire'!P78=1,0,ROUND(5/5*O14%/365,5)*O18)+'UAT6-Jun'!O140)</f>
        <v>2.4499999999999999E-3</v>
      </c>
    </row>
    <row r="129" spans="1:15">
      <c r="A129" s="436"/>
      <c r="B129" s="526"/>
      <c r="C129" s="526"/>
      <c r="D129" s="526"/>
      <c r="E129" s="526"/>
      <c r="F129" s="526"/>
      <c r="G129" s="526"/>
      <c r="H129" s="526"/>
      <c r="I129" s="526"/>
      <c r="J129" s="526"/>
      <c r="K129" s="526"/>
      <c r="L129" s="526"/>
      <c r="M129" s="526"/>
      <c r="N129" s="526"/>
      <c r="O129" s="526"/>
    </row>
    <row r="130" spans="1:15" ht="15.6">
      <c r="A130" s="404" t="s">
        <v>622</v>
      </c>
    </row>
    <row r="131" spans="1:15">
      <c r="A131" s="514" t="s">
        <v>477</v>
      </c>
      <c r="B131" s="515">
        <f>'UAT6-Jun'!B144</f>
        <v>7000000</v>
      </c>
      <c r="C131" s="515">
        <f>'UAT6-Jun'!C144</f>
        <v>6200000</v>
      </c>
      <c r="D131" s="515">
        <f>'UAT6-Jun'!D144</f>
        <v>7000000</v>
      </c>
      <c r="E131" s="515">
        <f>'UAT6-Jun'!E144</f>
        <v>11000000</v>
      </c>
      <c r="F131" s="515">
        <f>'UAT6-Jun'!F144</f>
        <v>16000000</v>
      </c>
      <c r="G131" s="515">
        <f>'UAT6-Jun'!G144</f>
        <v>81217500</v>
      </c>
      <c r="H131" s="515">
        <f>'UAT6-Jun'!H144</f>
        <v>127627500</v>
      </c>
      <c r="I131" s="515">
        <f>'UAT6-Jun'!I144</f>
        <v>97461000</v>
      </c>
      <c r="J131" s="515">
        <f>'UAT6-Jun'!J144</f>
        <v>55000000</v>
      </c>
      <c r="K131" s="515">
        <f>'UAT6-Jun'!K144</f>
        <v>10000000</v>
      </c>
      <c r="L131" s="515">
        <f>'UAT6-Jun'!L144</f>
        <v>11500000</v>
      </c>
      <c r="M131" s="515">
        <f>'UAT6-Jun'!M144</f>
        <v>7000000</v>
      </c>
      <c r="N131" s="515">
        <v>8000000</v>
      </c>
      <c r="O131" s="515">
        <f>'UAT6-Jun'!O144</f>
        <v>6000000</v>
      </c>
    </row>
    <row r="132" spans="1:15">
      <c r="A132" s="452" t="s">
        <v>729</v>
      </c>
      <c r="B132" s="484"/>
      <c r="C132" s="484"/>
      <c r="D132" s="484"/>
      <c r="E132" s="484"/>
      <c r="F132" s="484"/>
      <c r="G132" s="484"/>
      <c r="H132" s="484"/>
      <c r="I132" s="484"/>
      <c r="J132" s="484"/>
      <c r="K132" s="484"/>
      <c r="L132" s="484"/>
      <c r="M132" s="484"/>
      <c r="N132" s="484">
        <v>6500000</v>
      </c>
      <c r="O132" s="484"/>
    </row>
    <row r="133" spans="1:15">
      <c r="A133" s="436" t="s">
        <v>750</v>
      </c>
      <c r="B133" s="443"/>
      <c r="C133" s="443"/>
      <c r="D133" s="443"/>
      <c r="E133" s="443"/>
      <c r="F133" s="443"/>
      <c r="G133" s="515"/>
      <c r="H133" s="443"/>
      <c r="I133" s="443"/>
      <c r="J133" s="443"/>
      <c r="K133" s="443"/>
      <c r="L133" s="443"/>
      <c r="M133" s="443"/>
      <c r="N133" s="443"/>
      <c r="O133" s="515"/>
    </row>
    <row r="134" spans="1:15">
      <c r="A134" s="442" t="s">
        <v>494</v>
      </c>
      <c r="B134" s="443">
        <f>'UAT6-Jun'!B146</f>
        <v>700000</v>
      </c>
      <c r="C134" s="443">
        <f>'UAT6-Jun'!C146</f>
        <v>620000</v>
      </c>
      <c r="D134" s="443">
        <f>'UAT6-Jun'!D146</f>
        <v>700000</v>
      </c>
      <c r="E134" s="443">
        <f>'UAT6-Jun'!E146</f>
        <v>0</v>
      </c>
      <c r="F134" s="443">
        <f>'UAT6-Jun'!F146</f>
        <v>0</v>
      </c>
      <c r="G134" s="443">
        <f>'UAT6-Jun'!G146</f>
        <v>0</v>
      </c>
      <c r="H134" s="443">
        <f>'UAT6-Jun'!H146</f>
        <v>12762750</v>
      </c>
      <c r="I134" s="443">
        <f>'UAT6-Jun'!I146</f>
        <v>0</v>
      </c>
      <c r="J134" s="443">
        <f>'UAT6-Jun'!J146</f>
        <v>5500000</v>
      </c>
      <c r="K134" s="443">
        <f>'UAT6-Jun'!K146</f>
        <v>1000000</v>
      </c>
      <c r="L134" s="443">
        <f>'UAT6-Jun'!L146</f>
        <v>0</v>
      </c>
      <c r="M134" s="443">
        <f>'UAT6-Jun'!M146</f>
        <v>1400000</v>
      </c>
      <c r="N134" s="443">
        <v>1200000</v>
      </c>
      <c r="O134" s="443">
        <v>0</v>
      </c>
    </row>
    <row r="135" spans="1:15">
      <c r="A135" s="454" t="s">
        <v>730</v>
      </c>
      <c r="B135" s="484"/>
      <c r="C135" s="484"/>
      <c r="D135" s="484"/>
      <c r="E135" s="484"/>
      <c r="F135" s="484"/>
      <c r="G135" s="484"/>
      <c r="H135" s="484"/>
      <c r="I135" s="484"/>
      <c r="J135" s="484"/>
      <c r="K135" s="484"/>
      <c r="L135" s="484"/>
      <c r="M135" s="484"/>
      <c r="N135" s="484">
        <v>1000000</v>
      </c>
      <c r="O135" s="484"/>
    </row>
    <row r="136" spans="1:15">
      <c r="A136" s="408" t="s">
        <v>566</v>
      </c>
      <c r="B136" s="443">
        <f>'UAT6-Jun'!B148</f>
        <v>1400000</v>
      </c>
      <c r="C136" s="443">
        <f>'UAT6-Jun'!C148</f>
        <v>1240000</v>
      </c>
      <c r="D136" s="443">
        <f>'UAT6-Jun'!D148</f>
        <v>1400000</v>
      </c>
      <c r="E136" s="443">
        <f>'UAT6-Jun'!E148</f>
        <v>0</v>
      </c>
      <c r="F136" s="443">
        <f>'UAT6-Jun'!F148</f>
        <v>0</v>
      </c>
      <c r="G136" s="443">
        <f>'UAT6-Jun'!G148</f>
        <v>0</v>
      </c>
      <c r="H136" s="443">
        <f>'UAT6-Jun'!H148</f>
        <v>25525500</v>
      </c>
      <c r="I136" s="443">
        <f>'UAT6-Jun'!I148</f>
        <v>0</v>
      </c>
      <c r="J136" s="443">
        <f>'UAT6-Jun'!J148</f>
        <v>11000000</v>
      </c>
      <c r="K136" s="443">
        <f>'UAT6-Jun'!K148</f>
        <v>2000000</v>
      </c>
      <c r="L136" s="443">
        <f>'UAT6-Jun'!L148</f>
        <v>0</v>
      </c>
      <c r="M136" s="443">
        <f>'UAT6-Jun'!M148</f>
        <v>2100000</v>
      </c>
      <c r="N136" s="443">
        <v>1650000</v>
      </c>
      <c r="O136" s="443">
        <v>0</v>
      </c>
    </row>
    <row r="137" spans="1:15">
      <c r="A137" s="517" t="s">
        <v>731</v>
      </c>
      <c r="B137" s="484"/>
      <c r="C137" s="484"/>
      <c r="D137" s="484"/>
      <c r="E137" s="484"/>
      <c r="F137" s="484"/>
      <c r="G137" s="484"/>
      <c r="H137" s="484"/>
      <c r="I137" s="484"/>
      <c r="J137" s="484"/>
      <c r="K137" s="484"/>
      <c r="L137" s="484"/>
      <c r="M137" s="484"/>
      <c r="N137" s="484">
        <v>1500000</v>
      </c>
      <c r="O137" s="484"/>
    </row>
    <row r="138" spans="1:15">
      <c r="A138" s="416" t="s">
        <v>493</v>
      </c>
      <c r="B138" s="443"/>
      <c r="C138" s="443"/>
      <c r="D138" s="443"/>
      <c r="E138" s="443"/>
      <c r="F138" s="443"/>
      <c r="G138" s="443"/>
      <c r="H138" s="443"/>
      <c r="I138" s="443"/>
      <c r="J138" s="443"/>
      <c r="K138" s="443"/>
      <c r="L138" s="443"/>
      <c r="M138" s="443"/>
      <c r="N138" s="443"/>
      <c r="O138" s="443"/>
    </row>
    <row r="139" spans="1:15">
      <c r="A139" s="405" t="s">
        <v>528</v>
      </c>
      <c r="B139" s="443"/>
      <c r="C139" s="443"/>
      <c r="D139" s="443"/>
      <c r="E139" s="443"/>
      <c r="F139" s="443"/>
      <c r="G139" s="443"/>
      <c r="H139" s="443"/>
      <c r="I139" s="443"/>
      <c r="J139" s="443"/>
      <c r="K139" s="443"/>
      <c r="L139" s="443"/>
      <c r="M139" s="443"/>
      <c r="N139" s="443"/>
      <c r="O139" s="443"/>
    </row>
    <row r="140" spans="1:15">
      <c r="A140" s="416" t="s">
        <v>592</v>
      </c>
      <c r="B140" s="443"/>
      <c r="C140" s="443"/>
      <c r="D140" s="443"/>
      <c r="E140" s="443"/>
      <c r="F140" s="443"/>
      <c r="G140" s="443"/>
      <c r="H140" s="443"/>
      <c r="I140" s="443"/>
      <c r="J140" s="443"/>
      <c r="K140" s="443"/>
      <c r="L140" s="443"/>
      <c r="M140" s="443"/>
      <c r="N140" s="443"/>
      <c r="O140" s="443"/>
    </row>
    <row r="141" spans="1:15">
      <c r="A141" s="408" t="s">
        <v>491</v>
      </c>
      <c r="B141" s="443"/>
      <c r="C141" s="443"/>
      <c r="D141" s="443"/>
      <c r="E141" s="443"/>
      <c r="F141" s="443"/>
      <c r="G141" s="443"/>
      <c r="H141" s="443"/>
      <c r="I141" s="443"/>
      <c r="J141" s="443"/>
      <c r="K141" s="443"/>
      <c r="L141" s="443"/>
      <c r="M141" s="443"/>
      <c r="N141" s="443"/>
      <c r="O141" s="443"/>
    </row>
    <row r="142" spans="1:15">
      <c r="A142" s="408" t="s">
        <v>497</v>
      </c>
      <c r="B142" s="443"/>
      <c r="C142" s="443"/>
      <c r="D142" s="443"/>
      <c r="E142" s="443"/>
      <c r="F142" s="443"/>
      <c r="G142" s="443"/>
      <c r="H142" s="443"/>
      <c r="I142" s="443"/>
      <c r="J142" s="443"/>
      <c r="K142" s="443"/>
      <c r="L142" s="443"/>
      <c r="M142" s="443"/>
      <c r="N142" s="443"/>
      <c r="O142" s="443"/>
    </row>
    <row r="143" spans="1:15">
      <c r="A143" s="6" t="s">
        <v>623</v>
      </c>
      <c r="B143" s="443"/>
      <c r="C143" s="443"/>
      <c r="D143" s="443"/>
      <c r="E143" s="443"/>
      <c r="F143" s="443"/>
      <c r="G143" s="443"/>
      <c r="H143" s="443"/>
      <c r="I143" s="443"/>
      <c r="J143" s="443"/>
      <c r="K143" s="443"/>
      <c r="L143" s="443"/>
      <c r="M143" s="443"/>
      <c r="N143" s="443"/>
      <c r="O143" s="443"/>
    </row>
    <row r="144" spans="1:15">
      <c r="A144" s="6" t="s">
        <v>624</v>
      </c>
      <c r="B144" s="443"/>
      <c r="C144" s="443"/>
      <c r="D144" s="443"/>
      <c r="E144" s="443"/>
      <c r="F144" s="443"/>
      <c r="G144" s="443"/>
      <c r="H144" s="443"/>
      <c r="I144" s="443"/>
      <c r="J144" s="443"/>
      <c r="K144" s="443"/>
      <c r="L144" s="443"/>
      <c r="M144" s="443"/>
      <c r="N144" s="443"/>
      <c r="O144" s="443"/>
    </row>
    <row r="145" spans="1:15">
      <c r="A145" s="6" t="s">
        <v>625</v>
      </c>
      <c r="B145" s="443"/>
      <c r="C145" s="443"/>
      <c r="D145" s="443"/>
      <c r="E145" s="443"/>
      <c r="F145" s="443"/>
      <c r="G145" s="443"/>
      <c r="H145" s="443"/>
      <c r="I145" s="443"/>
      <c r="J145" s="443"/>
      <c r="K145" s="443"/>
      <c r="L145" s="443"/>
      <c r="M145" s="443"/>
      <c r="N145" s="443"/>
      <c r="O145" s="443"/>
    </row>
    <row r="146" spans="1:15">
      <c r="A146" s="405" t="s">
        <v>606</v>
      </c>
      <c r="B146" s="443"/>
      <c r="C146" s="443"/>
      <c r="D146" s="443"/>
      <c r="E146" s="443"/>
      <c r="F146" s="443"/>
      <c r="G146" s="443">
        <f>100*B4</f>
        <v>2320500</v>
      </c>
      <c r="H146" s="443">
        <f>100*B4</f>
        <v>2320500</v>
      </c>
      <c r="I146" s="443">
        <f>100*B4</f>
        <v>2320500</v>
      </c>
      <c r="J146" s="443"/>
      <c r="K146" s="443"/>
      <c r="L146" s="443"/>
      <c r="M146" s="443"/>
      <c r="N146" s="443"/>
      <c r="O146" s="443"/>
    </row>
    <row r="147" spans="1:15">
      <c r="A147" s="405" t="s">
        <v>607</v>
      </c>
      <c r="B147" s="443"/>
      <c r="C147" s="443"/>
      <c r="D147" s="443"/>
      <c r="E147" s="443"/>
      <c r="F147" s="443"/>
      <c r="G147" s="443">
        <f>200*B4</f>
        <v>4641000</v>
      </c>
      <c r="H147" s="443">
        <f>200*B4</f>
        <v>4641000</v>
      </c>
      <c r="I147" s="443">
        <f>200*B4</f>
        <v>4641000</v>
      </c>
      <c r="J147" s="443"/>
      <c r="K147" s="443"/>
      <c r="L147" s="443"/>
      <c r="M147" s="443"/>
      <c r="N147" s="443"/>
      <c r="O147" s="443"/>
    </row>
    <row r="148" spans="1:15">
      <c r="A148" s="6" t="s">
        <v>1343</v>
      </c>
      <c r="B148" s="443">
        <f>B131-B146-B147</f>
        <v>7000000</v>
      </c>
      <c r="C148" s="443">
        <f t="shared" ref="C148:O148" si="37">C131-C146-C147</f>
        <v>6200000</v>
      </c>
      <c r="D148" s="443">
        <f t="shared" si="37"/>
        <v>7000000</v>
      </c>
      <c r="E148" s="443">
        <f t="shared" si="37"/>
        <v>11000000</v>
      </c>
      <c r="F148" s="443">
        <f t="shared" si="37"/>
        <v>16000000</v>
      </c>
      <c r="G148" s="443">
        <f t="shared" si="37"/>
        <v>74256000</v>
      </c>
      <c r="H148" s="443">
        <f t="shared" si="37"/>
        <v>120666000</v>
      </c>
      <c r="I148" s="443">
        <f t="shared" si="37"/>
        <v>90499500</v>
      </c>
      <c r="J148" s="443">
        <f t="shared" si="37"/>
        <v>55000000</v>
      </c>
      <c r="K148" s="443">
        <f t="shared" si="37"/>
        <v>10000000</v>
      </c>
      <c r="L148" s="443">
        <f t="shared" si="37"/>
        <v>11500000</v>
      </c>
      <c r="M148" s="443">
        <f t="shared" si="37"/>
        <v>7000000</v>
      </c>
      <c r="N148" s="443">
        <f t="shared" si="37"/>
        <v>8000000</v>
      </c>
      <c r="O148" s="443">
        <f t="shared" si="37"/>
        <v>6000000</v>
      </c>
    </row>
    <row r="149" spans="1:15">
      <c r="A149" s="6" t="s">
        <v>1344</v>
      </c>
      <c r="B149" s="443">
        <f t="shared" ref="B149:O149" si="38">B131-ROUND(B146/B14,0)-ROUND(B147/B14,0)</f>
        <v>7000000</v>
      </c>
      <c r="C149" s="443">
        <f t="shared" si="38"/>
        <v>6200000</v>
      </c>
      <c r="D149" s="443">
        <f t="shared" si="38"/>
        <v>7000000</v>
      </c>
      <c r="E149" s="443">
        <f t="shared" si="38"/>
        <v>11000000</v>
      </c>
      <c r="F149" s="443">
        <f t="shared" si="38"/>
        <v>16000000</v>
      </c>
      <c r="G149" s="443">
        <f t="shared" si="38"/>
        <v>74256000</v>
      </c>
      <c r="H149" s="443">
        <f t="shared" si="38"/>
        <v>113704500</v>
      </c>
      <c r="I149" s="443">
        <f t="shared" si="38"/>
        <v>88179000</v>
      </c>
      <c r="J149" s="443">
        <f t="shared" si="38"/>
        <v>55000000</v>
      </c>
      <c r="K149" s="443">
        <f t="shared" si="38"/>
        <v>10000000</v>
      </c>
      <c r="L149" s="443">
        <f t="shared" si="38"/>
        <v>11500000</v>
      </c>
      <c r="M149" s="443">
        <f t="shared" si="38"/>
        <v>7000000</v>
      </c>
      <c r="N149" s="443">
        <f t="shared" si="38"/>
        <v>8000000</v>
      </c>
      <c r="O149" s="443">
        <f t="shared" si="38"/>
        <v>6000000</v>
      </c>
    </row>
    <row r="150" spans="1:15">
      <c r="A150" s="6" t="s">
        <v>1345</v>
      </c>
      <c r="B150" s="443">
        <f t="shared" ref="B150:O150" si="39">MIN(IF(OR(B21="A",B21="B"),0,ROUND(SUM(B149,B134,B136)*B14/$B$4,0)*$B$5),29800000)</f>
        <v>0</v>
      </c>
      <c r="C150" s="443">
        <f t="shared" si="39"/>
        <v>0</v>
      </c>
      <c r="D150" s="443">
        <f t="shared" si="39"/>
        <v>0</v>
      </c>
      <c r="E150" s="443">
        <f t="shared" si="39"/>
        <v>0</v>
      </c>
      <c r="F150" s="443">
        <f t="shared" si="39"/>
        <v>0</v>
      </c>
      <c r="G150" s="443">
        <f t="shared" si="39"/>
        <v>29800000</v>
      </c>
      <c r="H150" s="443">
        <f t="shared" si="39"/>
        <v>29800000</v>
      </c>
      <c r="I150" s="443">
        <f t="shared" si="39"/>
        <v>29800000</v>
      </c>
      <c r="J150" s="443">
        <f t="shared" si="39"/>
        <v>0</v>
      </c>
      <c r="K150" s="443">
        <f t="shared" si="39"/>
        <v>0</v>
      </c>
      <c r="L150" s="443">
        <f t="shared" si="39"/>
        <v>0</v>
      </c>
      <c r="M150" s="443">
        <f t="shared" si="39"/>
        <v>0</v>
      </c>
      <c r="N150" s="443">
        <f t="shared" si="39"/>
        <v>0</v>
      </c>
      <c r="O150" s="443">
        <f t="shared" si="39"/>
        <v>0</v>
      </c>
    </row>
    <row r="151" spans="1:15">
      <c r="A151" s="6" t="s">
        <v>1346</v>
      </c>
      <c r="B151" s="443">
        <f t="shared" ref="B151:O151" si="40">IF(OR(B21="A",B21="B"),0,ROUND(SUM(B149,B134,B136)*B14/$B$4,0)*$B$5)</f>
        <v>0</v>
      </c>
      <c r="C151" s="443">
        <f t="shared" si="40"/>
        <v>0</v>
      </c>
      <c r="D151" s="443">
        <f t="shared" si="40"/>
        <v>0</v>
      </c>
      <c r="E151" s="443">
        <f t="shared" si="40"/>
        <v>0</v>
      </c>
      <c r="F151" s="443">
        <f t="shared" si="40"/>
        <v>0</v>
      </c>
      <c r="G151" s="443">
        <f t="shared" si="40"/>
        <v>75200000</v>
      </c>
      <c r="H151" s="443">
        <f t="shared" si="40"/>
        <v>76962500</v>
      </c>
      <c r="I151" s="443">
        <f t="shared" si="40"/>
        <v>66975000</v>
      </c>
      <c r="J151" s="443">
        <f t="shared" si="40"/>
        <v>0</v>
      </c>
      <c r="K151" s="443">
        <f t="shared" si="40"/>
        <v>0</v>
      </c>
      <c r="L151" s="443">
        <f t="shared" si="40"/>
        <v>0</v>
      </c>
      <c r="M151" s="443">
        <f t="shared" si="40"/>
        <v>0</v>
      </c>
      <c r="N151" s="443">
        <f t="shared" si="40"/>
        <v>0</v>
      </c>
      <c r="O151" s="443">
        <f t="shared" si="40"/>
        <v>0</v>
      </c>
    </row>
    <row r="152" spans="1:15">
      <c r="A152" s="6" t="s">
        <v>657</v>
      </c>
      <c r="B152" s="5">
        <v>0</v>
      </c>
      <c r="C152" s="5">
        <v>0</v>
      </c>
      <c r="E152" s="5">
        <v>0</v>
      </c>
      <c r="F152" s="5">
        <v>0</v>
      </c>
      <c r="G152" s="5">
        <v>0</v>
      </c>
      <c r="H152" s="5">
        <v>0</v>
      </c>
      <c r="I152" s="5">
        <v>0</v>
      </c>
      <c r="J152" s="5">
        <v>0</v>
      </c>
      <c r="K152" s="5">
        <v>0</v>
      </c>
      <c r="L152" s="5">
        <v>0</v>
      </c>
      <c r="M152" s="5">
        <v>0</v>
      </c>
      <c r="N152" s="5">
        <v>0</v>
      </c>
      <c r="O152" s="5">
        <v>0</v>
      </c>
    </row>
  </sheetData>
  <mergeCells count="4">
    <mergeCell ref="G6:J6"/>
    <mergeCell ref="X6:AA6"/>
    <mergeCell ref="P7:P8"/>
    <mergeCell ref="X9:AA12"/>
  </mergeCells>
  <phoneticPr fontId="104" type="noConversion"/>
  <pageMargins left="0.75" right="0.75" top="1" bottom="1" header="0.5" footer="0.5"/>
  <pageSetup paperSize="9" orientation="portrait" verticalDpi="90" r:id="rId1"/>
  <headerFooter alignWithMargins="0"/>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E144"/>
  <sheetViews>
    <sheetView workbookViewId="0">
      <pane xSplit="1" ySplit="9" topLeftCell="B85" activePane="bottomRight" state="frozen"/>
      <selection pane="topRight" activeCell="B1" sqref="B1"/>
      <selection pane="bottomLeft" activeCell="A10" sqref="A10"/>
      <selection pane="bottomRight" activeCell="B88" sqref="B88"/>
    </sheetView>
  </sheetViews>
  <sheetFormatPr defaultRowHeight="13.8"/>
  <cols>
    <col min="1" max="1" width="31" style="5" bestFit="1" customWidth="1"/>
    <col min="2" max="5" width="10.77734375" style="5" customWidth="1"/>
    <col min="6" max="8" width="10.77734375" customWidth="1"/>
    <col min="9" max="9" width="11.6640625" bestFit="1" customWidth="1"/>
    <col min="10" max="15" width="10.77734375" customWidth="1"/>
    <col min="16" max="16" width="12.6640625" bestFit="1" customWidth="1"/>
    <col min="17" max="18" width="12.77734375" customWidth="1"/>
    <col min="19" max="21" width="10.77734375" customWidth="1"/>
    <col min="22" max="26" width="9.33203125" style="5" customWidth="1"/>
    <col min="27" max="27" width="10.77734375" style="5" bestFit="1" customWidth="1"/>
    <col min="28" max="29" width="9.33203125" style="5" customWidth="1"/>
  </cols>
  <sheetData>
    <row r="1" spans="1:29" s="3" customFormat="1" ht="20.399999999999999">
      <c r="A1" s="104" t="s">
        <v>6</v>
      </c>
      <c r="B1" s="104"/>
      <c r="C1" s="104"/>
      <c r="D1" s="104"/>
      <c r="E1" s="104"/>
      <c r="F1" s="440"/>
      <c r="L1" s="8"/>
      <c r="X1" s="1"/>
      <c r="Y1" s="1"/>
      <c r="Z1" s="1"/>
      <c r="AA1" s="1"/>
      <c r="AB1" s="1"/>
      <c r="AC1" s="1"/>
    </row>
    <row r="2" spans="1:29" s="3" customFormat="1" ht="12.75" customHeight="1">
      <c r="B2" s="110"/>
      <c r="C2" s="110"/>
      <c r="D2" s="110"/>
      <c r="E2" s="109"/>
      <c r="V2" s="22"/>
      <c r="W2" s="22"/>
      <c r="X2" s="22"/>
      <c r="Y2" s="22"/>
      <c r="Z2" s="22"/>
      <c r="AA2" s="2"/>
      <c r="AC2" s="2"/>
    </row>
    <row r="3" spans="1:29" s="3" customFormat="1" ht="30">
      <c r="A3" s="106" t="s">
        <v>867</v>
      </c>
      <c r="B3" s="110"/>
      <c r="C3" s="110"/>
      <c r="D3" s="110"/>
      <c r="E3" s="106"/>
      <c r="V3" s="22"/>
      <c r="W3" s="22"/>
      <c r="X3" s="22"/>
      <c r="Y3" s="22"/>
      <c r="Z3" s="22"/>
      <c r="AA3" s="2"/>
      <c r="AC3" s="2"/>
    </row>
    <row r="4" spans="1:29" s="110" customFormat="1">
      <c r="A4" s="110" t="s">
        <v>1265</v>
      </c>
      <c r="B4" s="361">
        <v>23205</v>
      </c>
    </row>
    <row r="5" spans="1:29" s="110" customFormat="1">
      <c r="A5" s="110" t="s">
        <v>1268</v>
      </c>
      <c r="B5" s="361">
        <v>23500</v>
      </c>
    </row>
    <row r="6" spans="1:29" s="3" customFormat="1" ht="18" customHeight="1">
      <c r="A6" s="321">
        <v>43708</v>
      </c>
      <c r="B6" s="110"/>
      <c r="C6" s="110"/>
      <c r="D6" s="110"/>
      <c r="G6" s="748" t="s">
        <v>52</v>
      </c>
      <c r="H6" s="748"/>
      <c r="I6" s="748"/>
      <c r="J6" s="748"/>
      <c r="V6" s="22"/>
      <c r="W6" s="22"/>
      <c r="X6" s="747" t="s">
        <v>65</v>
      </c>
      <c r="Y6" s="747"/>
      <c r="Z6" s="747"/>
      <c r="AA6" s="747"/>
      <c r="AB6" s="2"/>
      <c r="AC6" s="2"/>
    </row>
    <row r="7" spans="1:29" s="4" customFormat="1">
      <c r="A7" s="402"/>
      <c r="B7" s="317" t="s">
        <v>34</v>
      </c>
      <c r="C7" s="318" t="s">
        <v>35</v>
      </c>
      <c r="D7" s="318" t="s">
        <v>36</v>
      </c>
      <c r="E7" s="318" t="s">
        <v>37</v>
      </c>
      <c r="F7" s="318" t="s">
        <v>38</v>
      </c>
      <c r="G7" s="318" t="s">
        <v>39</v>
      </c>
      <c r="H7" s="318" t="s">
        <v>40</v>
      </c>
      <c r="I7" s="318" t="s">
        <v>41</v>
      </c>
      <c r="J7" s="318" t="s">
        <v>42</v>
      </c>
      <c r="K7" s="318" t="s">
        <v>43</v>
      </c>
      <c r="L7" s="318" t="s">
        <v>44</v>
      </c>
      <c r="M7" s="318" t="s">
        <v>45</v>
      </c>
      <c r="N7" s="318" t="s">
        <v>46</v>
      </c>
      <c r="O7" s="318" t="s">
        <v>47</v>
      </c>
      <c r="P7" s="758" t="s">
        <v>498</v>
      </c>
      <c r="Q7" s="343" t="s">
        <v>514</v>
      </c>
      <c r="R7" s="343" t="s">
        <v>515</v>
      </c>
      <c r="S7" s="343" t="s">
        <v>517</v>
      </c>
      <c r="T7" s="343" t="s">
        <v>519</v>
      </c>
      <c r="U7" s="343" t="s">
        <v>521</v>
      </c>
      <c r="V7" s="344"/>
      <c r="W7" s="345"/>
      <c r="X7" s="345"/>
      <c r="Y7" s="345"/>
      <c r="Z7" s="345"/>
      <c r="AA7" s="345"/>
      <c r="AB7" s="345"/>
      <c r="AC7" s="346"/>
    </row>
    <row r="8" spans="1:29" ht="15.6">
      <c r="A8" s="403"/>
      <c r="B8" s="111">
        <f>'New Hire'!C6</f>
        <v>91999901</v>
      </c>
      <c r="C8" s="333">
        <f>'New Hire'!D6</f>
        <v>91999902</v>
      </c>
      <c r="D8" s="333">
        <f>'New Hire'!E6</f>
        <v>91999903</v>
      </c>
      <c r="E8" s="333">
        <f>'New Hire'!F6</f>
        <v>91999904</v>
      </c>
      <c r="F8" s="333">
        <f>'New Hire'!G6</f>
        <v>91999905</v>
      </c>
      <c r="G8" s="333">
        <f>'New Hire'!H6</f>
        <v>91999906</v>
      </c>
      <c r="H8" s="333">
        <f>'New Hire'!I6</f>
        <v>91999907</v>
      </c>
      <c r="I8" s="333">
        <f>'New Hire'!J6</f>
        <v>91999908</v>
      </c>
      <c r="J8" s="333">
        <f>'New Hire'!K6</f>
        <v>91999909</v>
      </c>
      <c r="K8" s="333">
        <f>'New Hire'!L6</f>
        <v>91999910</v>
      </c>
      <c r="L8" s="333">
        <f>'New Hire'!M6</f>
        <v>91999911</v>
      </c>
      <c r="M8" s="333">
        <f>'New Hire'!N6</f>
        <v>91999912</v>
      </c>
      <c r="N8" s="333">
        <f>'New Hire'!O6</f>
        <v>91999913</v>
      </c>
      <c r="O8" s="333">
        <f>'New Hire'!P6</f>
        <v>91999914</v>
      </c>
      <c r="P8" s="759"/>
      <c r="Q8" s="343" t="s">
        <v>513</v>
      </c>
      <c r="R8" s="343" t="s">
        <v>516</v>
      </c>
      <c r="S8" s="343" t="s">
        <v>518</v>
      </c>
      <c r="T8" s="343" t="s">
        <v>520</v>
      </c>
      <c r="U8" s="343" t="s">
        <v>522</v>
      </c>
      <c r="V8" s="47"/>
      <c r="W8" s="48"/>
      <c r="X8" s="20"/>
      <c r="Y8" s="20"/>
      <c r="Z8" s="20"/>
      <c r="AA8" s="20"/>
      <c r="AB8" s="20"/>
      <c r="AC8" s="15"/>
    </row>
    <row r="9" spans="1:29" ht="12.75" customHeight="1">
      <c r="A9" s="404" t="s">
        <v>63</v>
      </c>
      <c r="B9" s="23"/>
      <c r="C9" s="19"/>
      <c r="D9" s="19"/>
      <c r="E9" s="20"/>
      <c r="F9" s="19"/>
      <c r="G9" s="19"/>
      <c r="H9" s="21"/>
      <c r="I9" s="19"/>
      <c r="J9" s="19"/>
      <c r="K9" s="20"/>
      <c r="L9" s="20"/>
      <c r="M9" s="20"/>
      <c r="N9" s="20"/>
      <c r="O9" s="15"/>
      <c r="P9" s="15"/>
      <c r="Q9" s="20"/>
      <c r="R9" s="20"/>
      <c r="S9" s="20"/>
      <c r="T9" s="20"/>
      <c r="U9" s="20"/>
      <c r="V9" s="25"/>
      <c r="W9" s="26"/>
      <c r="X9" s="749" t="s">
        <v>601</v>
      </c>
      <c r="Y9" s="750"/>
      <c r="Z9" s="750"/>
      <c r="AA9" s="751"/>
      <c r="AB9" s="27"/>
      <c r="AC9" s="18"/>
    </row>
    <row r="10" spans="1:29">
      <c r="A10" s="417" t="s">
        <v>478</v>
      </c>
      <c r="B10" s="379">
        <v>43678</v>
      </c>
      <c r="C10" s="379">
        <v>43678</v>
      </c>
      <c r="D10" s="379"/>
      <c r="E10" s="379">
        <v>43678</v>
      </c>
      <c r="F10" s="379">
        <v>43678</v>
      </c>
      <c r="G10" s="379">
        <v>43678</v>
      </c>
      <c r="H10" s="379">
        <v>43678</v>
      </c>
      <c r="I10" s="379">
        <v>43678</v>
      </c>
      <c r="J10" s="379">
        <v>43678</v>
      </c>
      <c r="K10" s="379">
        <v>43678</v>
      </c>
      <c r="L10" s="379">
        <v>43678</v>
      </c>
      <c r="M10" s="379">
        <v>43678</v>
      </c>
      <c r="N10" s="379">
        <v>43678</v>
      </c>
      <c r="O10" s="379">
        <v>43678</v>
      </c>
      <c r="P10" s="15"/>
      <c r="Q10" s="20"/>
      <c r="R10" s="20"/>
      <c r="S10" s="20"/>
      <c r="T10" s="20"/>
      <c r="U10" s="20"/>
      <c r="V10" s="28"/>
      <c r="W10" s="29"/>
      <c r="X10" s="752"/>
      <c r="Y10" s="753"/>
      <c r="Z10" s="753"/>
      <c r="AA10" s="754"/>
      <c r="AB10" s="30"/>
      <c r="AC10" s="15"/>
    </row>
    <row r="11" spans="1:29" ht="12.75" customHeight="1">
      <c r="A11" s="417" t="s">
        <v>489</v>
      </c>
      <c r="B11" s="382" t="str">
        <f>'UAT7-Jul'!B12</f>
        <v>1</v>
      </c>
      <c r="C11" s="382" t="str">
        <f>'UAT7-Jul'!C12</f>
        <v>P</v>
      </c>
      <c r="D11" s="382"/>
      <c r="E11" s="382" t="str">
        <f>'UAT7-Jul'!E12</f>
        <v>3</v>
      </c>
      <c r="F11" s="382">
        <f>'UAT7-Jul'!F12</f>
        <v>4</v>
      </c>
      <c r="G11" s="382" t="str">
        <f>'UAT7-Jul'!G12</f>
        <v>1</v>
      </c>
      <c r="H11" s="382" t="str">
        <f>'UAT7-Jul'!H12</f>
        <v>I</v>
      </c>
      <c r="I11" s="382" t="str">
        <f>'UAT7-Jul'!I12</f>
        <v>S</v>
      </c>
      <c r="J11" s="382" t="str">
        <f>'UAT7-Jul'!J12</f>
        <v>P</v>
      </c>
      <c r="K11" s="382" t="str">
        <f>'UAT7-Jul'!K12</f>
        <v>1</v>
      </c>
      <c r="L11" s="382" t="str">
        <f>'UAT7-Jul'!L12</f>
        <v>1</v>
      </c>
      <c r="M11" s="382">
        <f>'UAT7-Jul'!M12</f>
        <v>3</v>
      </c>
      <c r="N11" s="382">
        <f>'UAT7-Jul'!N12</f>
        <v>3</v>
      </c>
      <c r="O11" s="382" t="str">
        <f>'UAT7-Jul'!O12</f>
        <v>1</v>
      </c>
      <c r="P11" s="15"/>
      <c r="Q11" s="20"/>
      <c r="R11" s="20"/>
      <c r="S11" s="20"/>
      <c r="T11" s="20"/>
      <c r="U11" s="20"/>
      <c r="V11" s="32"/>
      <c r="W11" s="20"/>
      <c r="X11" s="752"/>
      <c r="Y11" s="753"/>
      <c r="Z11" s="753"/>
      <c r="AA11" s="754"/>
      <c r="AB11" s="20"/>
      <c r="AC11" s="15"/>
    </row>
    <row r="12" spans="1:29" ht="12.75" customHeight="1">
      <c r="A12" s="417" t="s">
        <v>490</v>
      </c>
      <c r="B12" s="382" t="str">
        <f>'UAT7-Jul'!B13</f>
        <v>;P</v>
      </c>
      <c r="C12" s="382" t="str">
        <f>'UAT7-Jul'!C13</f>
        <v>;A</v>
      </c>
      <c r="D12" s="382"/>
      <c r="E12" s="382" t="str">
        <f>'UAT7-Jul'!E13</f>
        <v>;I</v>
      </c>
      <c r="F12" s="382" t="str">
        <f>'UAT7-Jul'!F13</f>
        <v>;P</v>
      </c>
      <c r="G12" s="382" t="str">
        <f>'UAT7-Jul'!G13</f>
        <v>;A</v>
      </c>
      <c r="H12" s="382" t="str">
        <f>'UAT7-Jul'!H13</f>
        <v>;A</v>
      </c>
      <c r="I12" s="382" t="str">
        <f>'UAT7-Jul'!I13</f>
        <v>;V</v>
      </c>
      <c r="J12" s="382" t="str">
        <f>'UAT7-Jul'!J13</f>
        <v>;P</v>
      </c>
      <c r="K12" s="382" t="str">
        <f>'UAT7-Jul'!K13</f>
        <v>;A</v>
      </c>
      <c r="L12" s="382" t="str">
        <f>'UAT7-Jul'!L13</f>
        <v>;I</v>
      </c>
      <c r="M12" s="382" t="str">
        <f>'UAT7-Jul'!M13</f>
        <v>;P</v>
      </c>
      <c r="N12" s="382" t="str">
        <f>'UAT7-Jul'!N13</f>
        <v>;P</v>
      </c>
      <c r="O12" s="382" t="str">
        <f>'UAT7-Jul'!O13</f>
        <v>;I</v>
      </c>
      <c r="P12" s="15"/>
      <c r="Q12" s="20"/>
      <c r="R12" s="20"/>
      <c r="S12" s="20"/>
      <c r="T12" s="20"/>
      <c r="U12" s="20"/>
      <c r="V12" s="32"/>
      <c r="W12" s="20"/>
      <c r="X12" s="755"/>
      <c r="Y12" s="756"/>
      <c r="Z12" s="756"/>
      <c r="AA12" s="757"/>
      <c r="AB12" s="20"/>
      <c r="AC12" s="15"/>
    </row>
    <row r="13" spans="1:29">
      <c r="A13" s="448" t="s">
        <v>476</v>
      </c>
      <c r="B13" s="649">
        <f>'UAT7-Jul'!B14</f>
        <v>1</v>
      </c>
      <c r="C13" s="649">
        <f>'UAT7-Jul'!C14</f>
        <v>0.9</v>
      </c>
      <c r="D13" s="649"/>
      <c r="E13" s="649">
        <f>'UAT7-Jul'!E14</f>
        <v>1</v>
      </c>
      <c r="F13" s="649">
        <f>'UAT7-Jul'!F14</f>
        <v>0.8</v>
      </c>
      <c r="G13" s="649">
        <f>'UAT7-Jul'!G14</f>
        <v>1</v>
      </c>
      <c r="H13" s="649">
        <f>'UAT7-Jul'!H14</f>
        <v>0.5</v>
      </c>
      <c r="I13" s="649">
        <f>'UAT7-Jul'!I14</f>
        <v>0.75</v>
      </c>
      <c r="J13" s="649">
        <f>'UAT7-Jul'!J14</f>
        <v>0.6</v>
      </c>
      <c r="K13" s="649">
        <f>'UAT7-Jul'!K14</f>
        <v>1</v>
      </c>
      <c r="L13" s="649">
        <f>'UAT7-Jul'!L14</f>
        <v>1</v>
      </c>
      <c r="M13" s="649">
        <f>'UAT7-Jul'!M14</f>
        <v>1</v>
      </c>
      <c r="N13" s="649">
        <f>'UAT7-Jul'!N14</f>
        <v>1</v>
      </c>
      <c r="O13" s="649">
        <f>'UAT7-Jul'!O14</f>
        <v>0.75</v>
      </c>
      <c r="P13" s="15"/>
      <c r="Q13" s="20"/>
      <c r="R13" s="20"/>
      <c r="S13" s="20"/>
      <c r="T13" s="20"/>
      <c r="U13" s="20"/>
      <c r="V13" s="23"/>
      <c r="W13" s="19"/>
      <c r="X13" s="19"/>
      <c r="Y13" s="19"/>
      <c r="Z13" s="19"/>
      <c r="AA13" s="19"/>
      <c r="AB13" s="19"/>
      <c r="AC13" s="31"/>
    </row>
    <row r="14" spans="1:29">
      <c r="A14" s="417" t="s">
        <v>479</v>
      </c>
      <c r="B14" s="332">
        <f t="shared" ref="B14:O14" si="0">NETWORKDAYS(B10,$A$6)</f>
        <v>22</v>
      </c>
      <c r="C14" s="332">
        <f t="shared" si="0"/>
        <v>22</v>
      </c>
      <c r="D14" s="332"/>
      <c r="E14" s="332">
        <f t="shared" si="0"/>
        <v>22</v>
      </c>
      <c r="F14" s="332">
        <f t="shared" si="0"/>
        <v>22</v>
      </c>
      <c r="G14" s="332">
        <f t="shared" si="0"/>
        <v>22</v>
      </c>
      <c r="H14" s="332">
        <f t="shared" si="0"/>
        <v>22</v>
      </c>
      <c r="I14" s="332">
        <f t="shared" si="0"/>
        <v>22</v>
      </c>
      <c r="J14" s="332">
        <f t="shared" si="0"/>
        <v>22</v>
      </c>
      <c r="K14" s="332">
        <f t="shared" si="0"/>
        <v>22</v>
      </c>
      <c r="L14" s="332">
        <f t="shared" si="0"/>
        <v>22</v>
      </c>
      <c r="M14" s="332">
        <f t="shared" si="0"/>
        <v>22</v>
      </c>
      <c r="N14" s="332">
        <f t="shared" si="0"/>
        <v>22</v>
      </c>
      <c r="O14" s="389">
        <f t="shared" si="0"/>
        <v>22</v>
      </c>
      <c r="P14" s="15"/>
      <c r="Q14" s="20"/>
      <c r="R14" s="20"/>
      <c r="S14" s="20"/>
      <c r="T14" s="20"/>
      <c r="U14" s="20"/>
      <c r="V14" s="23"/>
      <c r="W14" s="19"/>
      <c r="X14" s="19"/>
      <c r="Y14" s="19"/>
      <c r="Z14" s="19"/>
      <c r="AA14" s="19"/>
      <c r="AB14" s="19"/>
      <c r="AC14" s="31"/>
    </row>
    <row r="15" spans="1:29">
      <c r="A15" s="417" t="s">
        <v>632</v>
      </c>
      <c r="B15" s="332">
        <f>NETWORKDAYS(EOMONTH($A$6,-1)+1,EOMONTH($A$6,0))</f>
        <v>22</v>
      </c>
      <c r="C15" s="332">
        <f t="shared" ref="C15:O15" si="1">NETWORKDAYS(EOMONTH($A$6,-1)+1,EOMONTH($A$6,0))</f>
        <v>22</v>
      </c>
      <c r="D15" s="332"/>
      <c r="E15" s="332">
        <f t="shared" si="1"/>
        <v>22</v>
      </c>
      <c r="F15" s="332">
        <f t="shared" si="1"/>
        <v>22</v>
      </c>
      <c r="G15" s="332">
        <f t="shared" si="1"/>
        <v>22</v>
      </c>
      <c r="H15" s="332">
        <f t="shared" si="1"/>
        <v>22</v>
      </c>
      <c r="I15" s="332">
        <f t="shared" si="1"/>
        <v>22</v>
      </c>
      <c r="J15" s="332">
        <f t="shared" si="1"/>
        <v>22</v>
      </c>
      <c r="K15" s="332">
        <f t="shared" si="1"/>
        <v>22</v>
      </c>
      <c r="L15" s="332">
        <f t="shared" si="1"/>
        <v>22</v>
      </c>
      <c r="M15" s="332">
        <f t="shared" si="1"/>
        <v>22</v>
      </c>
      <c r="N15" s="332">
        <f t="shared" si="1"/>
        <v>22</v>
      </c>
      <c r="O15" s="332">
        <f t="shared" si="1"/>
        <v>22</v>
      </c>
      <c r="P15" s="336"/>
      <c r="Q15" s="20"/>
      <c r="R15" s="20"/>
      <c r="S15" s="20"/>
      <c r="T15" s="20"/>
      <c r="U15" s="20"/>
      <c r="V15" s="23"/>
      <c r="W15" s="19"/>
      <c r="X15" s="19"/>
      <c r="Y15" s="19"/>
      <c r="Z15" s="19"/>
      <c r="AA15" s="19"/>
      <c r="AB15" s="19"/>
      <c r="AC15" s="31"/>
    </row>
    <row r="16" spans="1:29">
      <c r="A16" s="417" t="s">
        <v>511</v>
      </c>
      <c r="B16" s="329">
        <f t="shared" ref="B16:O16" si="2">_xlfn.DAYS($A$6,B10)+1</f>
        <v>31</v>
      </c>
      <c r="C16" s="329">
        <f t="shared" si="2"/>
        <v>31</v>
      </c>
      <c r="D16" s="329"/>
      <c r="E16" s="329">
        <f t="shared" si="2"/>
        <v>31</v>
      </c>
      <c r="F16" s="329">
        <f t="shared" si="2"/>
        <v>31</v>
      </c>
      <c r="G16" s="329">
        <f t="shared" si="2"/>
        <v>31</v>
      </c>
      <c r="H16" s="329">
        <f t="shared" si="2"/>
        <v>31</v>
      </c>
      <c r="I16" s="329">
        <f t="shared" si="2"/>
        <v>31</v>
      </c>
      <c r="J16" s="329">
        <f t="shared" si="2"/>
        <v>31</v>
      </c>
      <c r="K16" s="329">
        <f t="shared" si="2"/>
        <v>31</v>
      </c>
      <c r="L16" s="329">
        <f t="shared" si="2"/>
        <v>31</v>
      </c>
      <c r="M16" s="329">
        <f t="shared" si="2"/>
        <v>31</v>
      </c>
      <c r="N16" s="329">
        <f t="shared" si="2"/>
        <v>31</v>
      </c>
      <c r="O16" s="329">
        <f t="shared" si="2"/>
        <v>31</v>
      </c>
      <c r="P16" s="336"/>
      <c r="Q16" s="20"/>
      <c r="R16" s="20"/>
      <c r="S16" s="20"/>
      <c r="T16" s="20"/>
      <c r="U16" s="20"/>
      <c r="V16" s="23"/>
      <c r="W16" s="19"/>
      <c r="X16" s="19"/>
      <c r="Y16" s="19"/>
      <c r="Z16" s="19"/>
      <c r="AA16" s="19"/>
      <c r="AB16" s="19"/>
      <c r="AC16" s="31"/>
    </row>
    <row r="17" spans="1:29">
      <c r="A17" s="417" t="s">
        <v>531</v>
      </c>
      <c r="B17" s="331">
        <f>DATEDIF('New Hire'!C41,$A$6,"Y")</f>
        <v>9</v>
      </c>
      <c r="C17" s="331">
        <f>DATEDIF('New Hire'!D41,$A$6,"Y")</f>
        <v>13</v>
      </c>
      <c r="D17" s="331"/>
      <c r="E17" s="331">
        <f>DATEDIF('New Hire'!F41,$A$6,"Y")</f>
        <v>4</v>
      </c>
      <c r="F17" s="331">
        <f>DATEDIF('New Hire'!G41,$A$6,"Y")</f>
        <v>9</v>
      </c>
      <c r="G17" s="331">
        <f>DATEDIF('New Hire'!H41,$A$6,"Y")</f>
        <v>0</v>
      </c>
      <c r="H17" s="331">
        <f>DATEDIF('New Hire'!I41,$A$6,"Y")</f>
        <v>14</v>
      </c>
      <c r="I17" s="331">
        <f>DATEDIF('New Hire'!J41,$A$6,"Y")</f>
        <v>0</v>
      </c>
      <c r="J17" s="331">
        <f>DATEDIF('New Hire'!K41,$A$6,"Y")</f>
        <v>0</v>
      </c>
      <c r="K17" s="331">
        <f>DATEDIF('New Hire'!L41,$A$6,"Y")</f>
        <v>9</v>
      </c>
      <c r="L17" s="331">
        <f>DATEDIF('New Hire'!M41,$A$6,"Y")</f>
        <v>4</v>
      </c>
      <c r="M17" s="331">
        <f>DATEDIF('New Hire'!N41,$A$6,"Y")</f>
        <v>0</v>
      </c>
      <c r="N17" s="331">
        <f>DATEDIF('New Hire'!O41,$A$6,"Y")</f>
        <v>11</v>
      </c>
      <c r="O17" s="331">
        <f>DATEDIF('New Hire'!P41,$A$6,"Y")</f>
        <v>0</v>
      </c>
      <c r="P17" s="336"/>
      <c r="Q17" s="20"/>
      <c r="R17" s="20"/>
      <c r="S17" s="20"/>
      <c r="T17" s="20"/>
      <c r="U17" s="20"/>
      <c r="V17" s="23"/>
      <c r="W17" s="19"/>
      <c r="X17" s="19"/>
      <c r="Y17" s="19"/>
      <c r="Z17" s="19"/>
      <c r="AA17" s="19"/>
      <c r="AB17" s="19"/>
      <c r="AC17" s="31"/>
    </row>
    <row r="18" spans="1:29">
      <c r="A18" s="98" t="s">
        <v>563</v>
      </c>
      <c r="B18" s="330" t="str">
        <f>'New Hire'!C52</f>
        <v>A</v>
      </c>
      <c r="C18" s="331" t="str">
        <f>'New Hire'!D52</f>
        <v>A</v>
      </c>
      <c r="D18" s="331"/>
      <c r="E18" s="331" t="str">
        <f>'New Hire'!F52</f>
        <v>B</v>
      </c>
      <c r="F18" s="331" t="str">
        <f>'New Hire'!G52</f>
        <v>B</v>
      </c>
      <c r="G18" s="331" t="str">
        <f>'New Hire'!H52</f>
        <v>C</v>
      </c>
      <c r="H18" s="331" t="str">
        <f>'New Hire'!I52</f>
        <v>D</v>
      </c>
      <c r="I18" s="331" t="str">
        <f>'New Hire'!J52</f>
        <v>D</v>
      </c>
      <c r="J18" s="331" t="str">
        <f>'New Hire'!K52</f>
        <v>A</v>
      </c>
      <c r="K18" s="331" t="str">
        <f>'New Hire'!L52</f>
        <v>A</v>
      </c>
      <c r="L18" s="331" t="str">
        <f>'New Hire'!M52</f>
        <v>A</v>
      </c>
      <c r="M18" s="331" t="str">
        <f>'New Hire'!N52</f>
        <v>A</v>
      </c>
      <c r="N18" s="331" t="str">
        <f>'New Hire'!O52</f>
        <v>A</v>
      </c>
      <c r="O18" s="331" t="str">
        <f>'New Hire'!P52</f>
        <v>B</v>
      </c>
      <c r="P18" s="336"/>
      <c r="Q18" s="20"/>
      <c r="R18" s="20"/>
      <c r="S18" s="20"/>
      <c r="T18" s="20"/>
      <c r="U18" s="20"/>
      <c r="V18" s="23"/>
      <c r="W18" s="19"/>
      <c r="X18" s="19"/>
      <c r="Y18" s="19"/>
      <c r="Z18" s="19"/>
      <c r="AA18" s="19"/>
      <c r="AB18" s="19"/>
      <c r="AC18" s="31"/>
    </row>
    <row r="19" spans="1:29">
      <c r="A19" s="449" t="s">
        <v>107</v>
      </c>
      <c r="B19" s="88">
        <v>1</v>
      </c>
      <c r="C19" s="88">
        <v>2</v>
      </c>
      <c r="D19" s="88"/>
      <c r="E19" s="88">
        <v>3</v>
      </c>
      <c r="F19" s="88">
        <v>0</v>
      </c>
      <c r="G19" s="88">
        <v>0</v>
      </c>
      <c r="H19" s="88">
        <v>2</v>
      </c>
      <c r="I19" s="88">
        <v>0</v>
      </c>
      <c r="J19" s="88">
        <v>0</v>
      </c>
      <c r="K19" s="88">
        <v>0</v>
      </c>
      <c r="L19" s="88">
        <v>0</v>
      </c>
      <c r="M19" s="88">
        <v>0</v>
      </c>
      <c r="N19" s="88">
        <v>0</v>
      </c>
      <c r="O19" s="88">
        <v>0</v>
      </c>
      <c r="P19" s="336"/>
      <c r="Q19" s="20"/>
      <c r="R19" s="20"/>
      <c r="S19" s="20"/>
      <c r="T19" s="20"/>
      <c r="U19" s="20"/>
      <c r="V19" s="23"/>
      <c r="W19" s="19"/>
      <c r="X19" s="19"/>
      <c r="Y19" s="19"/>
      <c r="Z19" s="19"/>
      <c r="AA19" s="19"/>
      <c r="AB19" s="19"/>
      <c r="AC19" s="31"/>
    </row>
    <row r="20" spans="1:29">
      <c r="A20" s="450" t="s">
        <v>113</v>
      </c>
      <c r="B20" s="89">
        <f>IF(OR(B18="A",B18="C"),3600000*B19,0)</f>
        <v>3600000</v>
      </c>
      <c r="C20" s="89">
        <f t="shared" ref="C20:O20" si="3">IF(OR(C18="A",C18="C"),3600000*C19,0)</f>
        <v>7200000</v>
      </c>
      <c r="D20" s="89"/>
      <c r="E20" s="89">
        <f t="shared" si="3"/>
        <v>0</v>
      </c>
      <c r="F20" s="89">
        <f t="shared" si="3"/>
        <v>0</v>
      </c>
      <c r="G20" s="89">
        <f t="shared" si="3"/>
        <v>0</v>
      </c>
      <c r="H20" s="89">
        <f t="shared" si="3"/>
        <v>0</v>
      </c>
      <c r="I20" s="89">
        <f t="shared" si="3"/>
        <v>0</v>
      </c>
      <c r="J20" s="89">
        <f t="shared" si="3"/>
        <v>0</v>
      </c>
      <c r="K20" s="89">
        <f t="shared" si="3"/>
        <v>0</v>
      </c>
      <c r="L20" s="89">
        <f t="shared" si="3"/>
        <v>0</v>
      </c>
      <c r="M20" s="89">
        <f t="shared" si="3"/>
        <v>0</v>
      </c>
      <c r="N20" s="89">
        <f t="shared" si="3"/>
        <v>0</v>
      </c>
      <c r="O20" s="89">
        <f t="shared" si="3"/>
        <v>0</v>
      </c>
      <c r="P20" s="589">
        <f>SUM(B20:O20)</f>
        <v>10800000</v>
      </c>
      <c r="Q20" s="20"/>
      <c r="R20" s="20"/>
      <c r="S20" s="20"/>
      <c r="T20" s="20"/>
      <c r="U20" s="20"/>
      <c r="V20" s="23"/>
      <c r="W20" s="19"/>
      <c r="X20" s="19"/>
      <c r="Y20" s="19"/>
      <c r="Z20" s="19"/>
      <c r="AA20" s="19"/>
      <c r="AB20" s="19"/>
      <c r="AC20" s="31"/>
    </row>
    <row r="21" spans="1:29">
      <c r="A21" s="450" t="s">
        <v>114</v>
      </c>
      <c r="B21" s="89">
        <f>IF(OR(B18="A",B18="C"),9000000,0)</f>
        <v>9000000</v>
      </c>
      <c r="C21" s="89">
        <f t="shared" ref="C21:O21" si="4">IF(OR(C18="A",C18="C"),9000000,0)</f>
        <v>9000000</v>
      </c>
      <c r="D21" s="89"/>
      <c r="E21" s="89">
        <f t="shared" si="4"/>
        <v>0</v>
      </c>
      <c r="F21" s="89">
        <f t="shared" si="4"/>
        <v>0</v>
      </c>
      <c r="G21" s="89">
        <f t="shared" si="4"/>
        <v>9000000</v>
      </c>
      <c r="H21" s="89">
        <f t="shared" si="4"/>
        <v>0</v>
      </c>
      <c r="I21" s="89">
        <f t="shared" si="4"/>
        <v>0</v>
      </c>
      <c r="J21" s="89">
        <f t="shared" si="4"/>
        <v>9000000</v>
      </c>
      <c r="K21" s="89">
        <f t="shared" si="4"/>
        <v>9000000</v>
      </c>
      <c r="L21" s="89">
        <f t="shared" si="4"/>
        <v>9000000</v>
      </c>
      <c r="M21" s="89">
        <f t="shared" si="4"/>
        <v>9000000</v>
      </c>
      <c r="N21" s="89">
        <f t="shared" si="4"/>
        <v>9000000</v>
      </c>
      <c r="O21" s="89">
        <f t="shared" si="4"/>
        <v>0</v>
      </c>
      <c r="P21" s="589">
        <f>SUM(B21:O21)</f>
        <v>72000000</v>
      </c>
      <c r="Q21" s="66"/>
      <c r="R21" s="66"/>
      <c r="S21" s="66"/>
      <c r="T21" s="66"/>
      <c r="U21" s="66"/>
      <c r="V21" s="23"/>
      <c r="W21" s="19"/>
      <c r="X21" s="19"/>
      <c r="Y21" s="19"/>
      <c r="Z21" s="19"/>
      <c r="AA21" s="19"/>
      <c r="AB21" s="19"/>
      <c r="AC21" s="31"/>
    </row>
    <row r="22" spans="1:29" ht="15.6">
      <c r="A22" s="406" t="s">
        <v>53</v>
      </c>
      <c r="B22" s="64"/>
      <c r="C22" s="65"/>
      <c r="D22" s="65"/>
      <c r="E22" s="66"/>
      <c r="F22" s="65"/>
      <c r="G22" s="65"/>
      <c r="H22" s="21"/>
      <c r="I22" s="65"/>
      <c r="J22" s="65"/>
      <c r="K22" s="66"/>
      <c r="L22" s="66"/>
      <c r="M22" s="66"/>
      <c r="N22" s="66"/>
      <c r="O22" s="66"/>
      <c r="P22" s="337"/>
      <c r="Q22" s="66"/>
      <c r="R22" s="66"/>
      <c r="S22" s="66"/>
      <c r="T22" s="66"/>
      <c r="U22" s="66"/>
      <c r="V22" s="40"/>
      <c r="W22" s="41"/>
      <c r="X22" s="19"/>
      <c r="Y22" s="19"/>
      <c r="Z22" s="19"/>
      <c r="AA22" s="19"/>
      <c r="AB22" s="16"/>
      <c r="AC22" s="17"/>
    </row>
    <row r="23" spans="1:29">
      <c r="A23" s="407" t="s">
        <v>55</v>
      </c>
      <c r="B23" s="64"/>
      <c r="C23" s="65"/>
      <c r="D23" s="65"/>
      <c r="E23" s="66"/>
      <c r="F23" s="65"/>
      <c r="G23" s="65"/>
      <c r="H23" s="21"/>
      <c r="I23" s="65"/>
      <c r="J23" s="65"/>
      <c r="K23" s="66"/>
      <c r="L23" s="66"/>
      <c r="M23" s="66"/>
      <c r="N23" s="66"/>
      <c r="O23" s="376"/>
      <c r="P23" s="376"/>
      <c r="Q23" s="66"/>
      <c r="R23" s="66"/>
      <c r="S23" s="66"/>
      <c r="T23" s="66"/>
      <c r="U23" s="66"/>
      <c r="V23" s="50"/>
      <c r="W23" s="44"/>
      <c r="X23" s="44"/>
      <c r="Y23" s="44"/>
      <c r="Z23" s="44"/>
      <c r="AA23" s="44"/>
      <c r="AB23" s="44"/>
      <c r="AC23" s="51"/>
    </row>
    <row r="24" spans="1:29">
      <c r="A24" s="436" t="s">
        <v>477</v>
      </c>
      <c r="B24" s="326">
        <f>ROUND(B136*B87,0)</f>
        <v>7000000</v>
      </c>
      <c r="C24" s="326">
        <f>ROUND(C136*C87,0)</f>
        <v>5580000</v>
      </c>
      <c r="D24" s="326"/>
      <c r="E24" s="326">
        <f t="shared" ref="E24:O24" si="5">ROUND(E136*E87,0)</f>
        <v>11000000</v>
      </c>
      <c r="F24" s="326">
        <f t="shared" si="5"/>
        <v>12800000</v>
      </c>
      <c r="G24" s="326">
        <f t="shared" si="5"/>
        <v>74256000</v>
      </c>
      <c r="H24" s="326">
        <f t="shared" si="5"/>
        <v>56852250</v>
      </c>
      <c r="I24" s="326">
        <f t="shared" si="5"/>
        <v>66134250</v>
      </c>
      <c r="J24" s="326">
        <f t="shared" si="5"/>
        <v>33000000</v>
      </c>
      <c r="K24" s="326">
        <f t="shared" si="5"/>
        <v>10000000</v>
      </c>
      <c r="L24" s="326">
        <f t="shared" si="5"/>
        <v>11500000</v>
      </c>
      <c r="M24" s="326">
        <f t="shared" si="5"/>
        <v>7000000</v>
      </c>
      <c r="N24" s="326">
        <f t="shared" si="5"/>
        <v>8000000</v>
      </c>
      <c r="O24" s="326">
        <f t="shared" si="5"/>
        <v>4500000</v>
      </c>
      <c r="P24" s="338">
        <f>SUM(B24:O24)</f>
        <v>307622500</v>
      </c>
      <c r="Q24" s="89" t="s">
        <v>523</v>
      </c>
      <c r="R24" s="89" t="s">
        <v>523</v>
      </c>
      <c r="S24" s="89" t="s">
        <v>523</v>
      </c>
      <c r="T24" s="89" t="s">
        <v>523</v>
      </c>
      <c r="U24" s="89" t="s">
        <v>523</v>
      </c>
      <c r="V24" s="112" t="s">
        <v>57</v>
      </c>
      <c r="W24" s="113" t="s">
        <v>67</v>
      </c>
      <c r="X24" s="113" t="s">
        <v>69</v>
      </c>
      <c r="Y24" s="113" t="s">
        <v>70</v>
      </c>
      <c r="Z24" s="113" t="s">
        <v>56</v>
      </c>
      <c r="AA24" s="113" t="s">
        <v>54</v>
      </c>
      <c r="AB24" s="113" t="s">
        <v>58</v>
      </c>
      <c r="AC24" s="114" t="s">
        <v>59</v>
      </c>
    </row>
    <row r="25" spans="1:29">
      <c r="A25" s="442" t="s">
        <v>494</v>
      </c>
      <c r="B25" s="326">
        <f>ROUND(B123*B87,0)</f>
        <v>700000</v>
      </c>
      <c r="C25" s="326">
        <f>ROUND(C123*C87,0)</f>
        <v>558000</v>
      </c>
      <c r="D25" s="326"/>
      <c r="E25" s="326">
        <f t="shared" ref="E25:O25" si="6">ROUND(E123*E87,0)</f>
        <v>0</v>
      </c>
      <c r="F25" s="326">
        <f t="shared" si="6"/>
        <v>0</v>
      </c>
      <c r="G25" s="326">
        <f t="shared" si="6"/>
        <v>0</v>
      </c>
      <c r="H25" s="326">
        <f t="shared" si="6"/>
        <v>6381375</v>
      </c>
      <c r="I25" s="326">
        <f t="shared" si="6"/>
        <v>0</v>
      </c>
      <c r="J25" s="326">
        <f t="shared" si="6"/>
        <v>3300000</v>
      </c>
      <c r="K25" s="326">
        <f t="shared" si="6"/>
        <v>1000000</v>
      </c>
      <c r="L25" s="326">
        <f t="shared" si="6"/>
        <v>0</v>
      </c>
      <c r="M25" s="326">
        <f t="shared" si="6"/>
        <v>1400000</v>
      </c>
      <c r="N25" s="326">
        <f t="shared" si="6"/>
        <v>1200000</v>
      </c>
      <c r="O25" s="326">
        <f t="shared" si="6"/>
        <v>0</v>
      </c>
      <c r="P25" s="338">
        <f>SUM(B25:O25)</f>
        <v>14539375</v>
      </c>
      <c r="Q25" s="373" t="s">
        <v>523</v>
      </c>
      <c r="R25" s="373" t="s">
        <v>523</v>
      </c>
      <c r="S25" s="373" t="s">
        <v>523</v>
      </c>
      <c r="T25" s="373" t="s">
        <v>523</v>
      </c>
      <c r="U25" s="89" t="s">
        <v>523</v>
      </c>
      <c r="V25" s="350" t="s">
        <v>2</v>
      </c>
      <c r="W25" s="351">
        <v>91999901</v>
      </c>
      <c r="X25" s="352" t="s">
        <v>505</v>
      </c>
      <c r="Y25" s="352" t="s">
        <v>506</v>
      </c>
      <c r="Z25" s="353" t="s">
        <v>507</v>
      </c>
      <c r="AA25" s="354">
        <v>8000000</v>
      </c>
      <c r="AB25" s="352"/>
      <c r="AC25" s="355"/>
    </row>
    <row r="26" spans="1:29">
      <c r="A26" s="442" t="s">
        <v>566</v>
      </c>
      <c r="B26" s="326">
        <f>ROUND(B124*B87,0)</f>
        <v>1400000</v>
      </c>
      <c r="C26" s="326">
        <f>ROUND(C124*C87,0)</f>
        <v>1116000</v>
      </c>
      <c r="D26" s="326"/>
      <c r="E26" s="326">
        <f t="shared" ref="E26:O26" si="7">ROUND(E124*E87,0)</f>
        <v>0</v>
      </c>
      <c r="F26" s="326">
        <f t="shared" si="7"/>
        <v>0</v>
      </c>
      <c r="G26" s="326">
        <f t="shared" si="7"/>
        <v>0</v>
      </c>
      <c r="H26" s="326">
        <f t="shared" si="7"/>
        <v>12762750</v>
      </c>
      <c r="I26" s="326">
        <f t="shared" si="7"/>
        <v>0</v>
      </c>
      <c r="J26" s="326">
        <f t="shared" si="7"/>
        <v>6600000</v>
      </c>
      <c r="K26" s="326">
        <f t="shared" si="7"/>
        <v>2000000</v>
      </c>
      <c r="L26" s="326">
        <f t="shared" si="7"/>
        <v>0</v>
      </c>
      <c r="M26" s="326">
        <f t="shared" si="7"/>
        <v>2100000</v>
      </c>
      <c r="N26" s="326">
        <f t="shared" si="7"/>
        <v>1650000</v>
      </c>
      <c r="O26" s="326">
        <f t="shared" si="7"/>
        <v>0</v>
      </c>
      <c r="P26" s="338">
        <f>SUM(B26:O26)</f>
        <v>27628750</v>
      </c>
      <c r="Q26" s="373" t="s">
        <v>523</v>
      </c>
      <c r="R26" s="373" t="s">
        <v>523</v>
      </c>
      <c r="S26" s="373" t="s">
        <v>523</v>
      </c>
      <c r="T26" s="373" t="s">
        <v>523</v>
      </c>
      <c r="U26" s="89" t="s">
        <v>523</v>
      </c>
      <c r="V26" s="350" t="s">
        <v>2</v>
      </c>
      <c r="W26" s="351">
        <v>91999902</v>
      </c>
      <c r="X26" s="352" t="s">
        <v>505</v>
      </c>
      <c r="Y26" s="352" t="s">
        <v>506</v>
      </c>
      <c r="Z26" s="353" t="s">
        <v>507</v>
      </c>
      <c r="AA26" s="354">
        <v>8000000</v>
      </c>
      <c r="AB26" s="352"/>
      <c r="AC26" s="355"/>
    </row>
    <row r="27" spans="1:29">
      <c r="A27" s="483" t="s">
        <v>1378</v>
      </c>
      <c r="B27" s="492"/>
      <c r="C27" s="431"/>
      <c r="D27" s="431"/>
      <c r="E27" s="431"/>
      <c r="F27" s="431"/>
      <c r="G27" s="431"/>
      <c r="H27" s="431"/>
      <c r="I27" s="431"/>
      <c r="J27" s="431"/>
      <c r="K27" s="431"/>
      <c r="L27" s="431"/>
      <c r="M27" s="431">
        <f>M77</f>
        <v>1211550</v>
      </c>
      <c r="N27" s="431"/>
      <c r="O27" s="431"/>
      <c r="P27" s="495">
        <f t="shared" ref="P27:P35" si="8">SUM(B27:O27)</f>
        <v>1211550</v>
      </c>
      <c r="Q27" s="437" t="s">
        <v>523</v>
      </c>
      <c r="R27" s="437" t="s">
        <v>523</v>
      </c>
      <c r="S27" s="428"/>
      <c r="T27" s="428"/>
      <c r="U27" s="428"/>
      <c r="V27" s="350" t="s">
        <v>2</v>
      </c>
      <c r="W27" s="351">
        <v>91999904</v>
      </c>
      <c r="X27" s="352" t="s">
        <v>509</v>
      </c>
      <c r="Y27" s="352" t="s">
        <v>506</v>
      </c>
      <c r="Z27" s="353" t="s">
        <v>507</v>
      </c>
      <c r="AA27" s="354">
        <v>8000000</v>
      </c>
      <c r="AB27" s="352"/>
      <c r="AC27" s="355"/>
    </row>
    <row r="28" spans="1:29">
      <c r="A28" s="509" t="s">
        <v>1354</v>
      </c>
      <c r="B28" s="431"/>
      <c r="C28" s="431"/>
      <c r="D28" s="431"/>
      <c r="E28" s="431"/>
      <c r="F28" s="431"/>
      <c r="G28" s="431"/>
      <c r="H28" s="431"/>
      <c r="I28" s="431"/>
      <c r="J28" s="431"/>
      <c r="K28" s="431"/>
      <c r="L28" s="431"/>
      <c r="M28" s="431">
        <f>M78</f>
        <v>1211550</v>
      </c>
      <c r="N28" s="431"/>
      <c r="O28" s="431"/>
      <c r="P28" s="495">
        <f t="shared" si="8"/>
        <v>1211550</v>
      </c>
      <c r="Q28" s="437" t="s">
        <v>523</v>
      </c>
      <c r="R28" s="437"/>
      <c r="S28" s="428"/>
      <c r="T28" s="428"/>
      <c r="U28" s="428"/>
      <c r="V28" s="350" t="s">
        <v>2</v>
      </c>
      <c r="W28" s="351">
        <v>91999905</v>
      </c>
      <c r="X28" s="352" t="s">
        <v>505</v>
      </c>
      <c r="Y28" s="352" t="s">
        <v>506</v>
      </c>
      <c r="Z28" s="353" t="s">
        <v>507</v>
      </c>
      <c r="AA28" s="354">
        <v>8000000</v>
      </c>
      <c r="AB28" s="352"/>
      <c r="AC28" s="355"/>
    </row>
    <row r="29" spans="1:29">
      <c r="A29" s="416" t="s">
        <v>493</v>
      </c>
      <c r="B29" s="443">
        <f t="shared" ref="B29:O29" si="9">ROUND(B125*B87,0)</f>
        <v>3000000</v>
      </c>
      <c r="C29" s="443">
        <f t="shared" si="9"/>
        <v>2700000</v>
      </c>
      <c r="D29" s="443">
        <f t="shared" si="9"/>
        <v>0</v>
      </c>
      <c r="E29" s="443">
        <f t="shared" si="9"/>
        <v>3000000</v>
      </c>
      <c r="F29" s="443">
        <f t="shared" si="9"/>
        <v>2400000</v>
      </c>
      <c r="G29" s="443">
        <f t="shared" si="9"/>
        <v>0</v>
      </c>
      <c r="H29" s="443">
        <f t="shared" si="9"/>
        <v>0</v>
      </c>
      <c r="I29" s="443">
        <f t="shared" si="9"/>
        <v>0</v>
      </c>
      <c r="J29" s="443">
        <f t="shared" si="9"/>
        <v>1800000</v>
      </c>
      <c r="K29" s="443">
        <f t="shared" si="9"/>
        <v>3000000</v>
      </c>
      <c r="L29" s="443">
        <f t="shared" si="9"/>
        <v>3000000</v>
      </c>
      <c r="M29" s="443">
        <f t="shared" si="9"/>
        <v>3000000</v>
      </c>
      <c r="N29" s="443">
        <f t="shared" si="9"/>
        <v>3000000</v>
      </c>
      <c r="O29" s="443">
        <f t="shared" si="9"/>
        <v>0</v>
      </c>
      <c r="P29" s="697">
        <f t="shared" si="8"/>
        <v>24900000</v>
      </c>
      <c r="Q29" s="373" t="s">
        <v>525</v>
      </c>
      <c r="R29" s="373" t="s">
        <v>565</v>
      </c>
      <c r="S29" s="373"/>
      <c r="T29" s="373"/>
      <c r="U29" s="373"/>
      <c r="V29" s="350" t="s">
        <v>2</v>
      </c>
      <c r="W29" s="351">
        <v>91999906</v>
      </c>
      <c r="X29" s="352" t="s">
        <v>505</v>
      </c>
      <c r="Y29" s="352" t="s">
        <v>506</v>
      </c>
      <c r="Z29" s="353" t="s">
        <v>507</v>
      </c>
      <c r="AA29" s="354">
        <v>8000000</v>
      </c>
      <c r="AB29" s="352"/>
      <c r="AC29" s="355"/>
    </row>
    <row r="30" spans="1:29">
      <c r="A30" s="405" t="s">
        <v>528</v>
      </c>
      <c r="B30" s="443">
        <f t="shared" ref="B30:O30" si="10">ROUND(B126*B87,0)</f>
        <v>3500000</v>
      </c>
      <c r="C30" s="443">
        <f t="shared" si="10"/>
        <v>3150000</v>
      </c>
      <c r="D30" s="443">
        <f t="shared" si="10"/>
        <v>0</v>
      </c>
      <c r="E30" s="443">
        <f t="shared" si="10"/>
        <v>3500000</v>
      </c>
      <c r="F30" s="443">
        <f t="shared" si="10"/>
        <v>2800000</v>
      </c>
      <c r="G30" s="443">
        <f t="shared" si="10"/>
        <v>0</v>
      </c>
      <c r="H30" s="443">
        <f t="shared" si="10"/>
        <v>2320500</v>
      </c>
      <c r="I30" s="443">
        <f t="shared" si="10"/>
        <v>3480750</v>
      </c>
      <c r="J30" s="443">
        <f t="shared" si="10"/>
        <v>2100000</v>
      </c>
      <c r="K30" s="443">
        <f t="shared" si="10"/>
        <v>3500000</v>
      </c>
      <c r="L30" s="443">
        <f t="shared" si="10"/>
        <v>3500000</v>
      </c>
      <c r="M30" s="443">
        <f t="shared" si="10"/>
        <v>3500000</v>
      </c>
      <c r="N30" s="443">
        <f t="shared" si="10"/>
        <v>3500000</v>
      </c>
      <c r="O30" s="443">
        <f t="shared" si="10"/>
        <v>0</v>
      </c>
      <c r="P30" s="697">
        <f t="shared" si="8"/>
        <v>34851250</v>
      </c>
      <c r="Q30" s="89" t="s">
        <v>523</v>
      </c>
      <c r="R30" s="89" t="s">
        <v>523</v>
      </c>
      <c r="S30" s="89" t="s">
        <v>523</v>
      </c>
      <c r="T30" s="89" t="s">
        <v>523</v>
      </c>
      <c r="U30" s="89" t="s">
        <v>523</v>
      </c>
      <c r="V30" s="350" t="s">
        <v>2</v>
      </c>
      <c r="W30" s="351">
        <v>91999907</v>
      </c>
      <c r="X30" s="352" t="s">
        <v>505</v>
      </c>
      <c r="Y30" s="352" t="s">
        <v>506</v>
      </c>
      <c r="Z30" s="353" t="s">
        <v>535</v>
      </c>
      <c r="AA30" s="354">
        <v>7000000</v>
      </c>
      <c r="AB30" s="352"/>
      <c r="AC30" s="355"/>
    </row>
    <row r="31" spans="1:29">
      <c r="A31" s="408" t="s">
        <v>497</v>
      </c>
      <c r="B31" s="443">
        <f t="shared" ref="B31:O31" si="11">ROUND(B129*B87,0)</f>
        <v>4000000</v>
      </c>
      <c r="C31" s="443">
        <f t="shared" si="11"/>
        <v>3600000</v>
      </c>
      <c r="D31" s="443">
        <f t="shared" si="11"/>
        <v>0</v>
      </c>
      <c r="E31" s="443">
        <f t="shared" si="11"/>
        <v>4000000</v>
      </c>
      <c r="F31" s="443">
        <f t="shared" si="11"/>
        <v>3200000</v>
      </c>
      <c r="G31" s="443">
        <f t="shared" si="11"/>
        <v>0</v>
      </c>
      <c r="H31" s="443">
        <f t="shared" si="11"/>
        <v>2610563</v>
      </c>
      <c r="I31" s="443">
        <f t="shared" si="11"/>
        <v>3915844</v>
      </c>
      <c r="J31" s="443">
        <f t="shared" si="11"/>
        <v>2400000</v>
      </c>
      <c r="K31" s="443">
        <f t="shared" si="11"/>
        <v>4000000</v>
      </c>
      <c r="L31" s="443">
        <f t="shared" si="11"/>
        <v>4000000</v>
      </c>
      <c r="M31" s="443">
        <f t="shared" si="11"/>
        <v>4000000</v>
      </c>
      <c r="N31" s="443">
        <f t="shared" si="11"/>
        <v>4000000</v>
      </c>
      <c r="O31" s="443">
        <f t="shared" si="11"/>
        <v>0</v>
      </c>
      <c r="P31" s="697">
        <f t="shared" si="8"/>
        <v>39726407</v>
      </c>
      <c r="Q31" s="373" t="s">
        <v>525</v>
      </c>
      <c r="R31" s="373" t="s">
        <v>565</v>
      </c>
      <c r="S31" s="373"/>
      <c r="T31" s="373"/>
      <c r="U31" s="373"/>
      <c r="V31" s="350" t="s">
        <v>1332</v>
      </c>
      <c r="W31" s="351">
        <v>91999906</v>
      </c>
      <c r="X31" s="352" t="s">
        <v>692</v>
      </c>
      <c r="Y31" s="352" t="s">
        <v>1154</v>
      </c>
      <c r="Z31" s="353">
        <v>7065</v>
      </c>
      <c r="AA31" s="354">
        <v>100</v>
      </c>
      <c r="AB31" s="352" t="s">
        <v>1329</v>
      </c>
      <c r="AC31" s="355"/>
    </row>
    <row r="32" spans="1:29">
      <c r="A32" s="408"/>
      <c r="B32" s="443"/>
      <c r="C32" s="443"/>
      <c r="D32" s="443"/>
      <c r="E32" s="443"/>
      <c r="F32" s="443"/>
      <c r="G32" s="443"/>
      <c r="H32" s="443"/>
      <c r="I32" s="443"/>
      <c r="J32" s="443"/>
      <c r="K32" s="443"/>
      <c r="L32" s="443"/>
      <c r="M32" s="443"/>
      <c r="N32" s="443"/>
      <c r="O32" s="334"/>
      <c r="P32" s="697"/>
      <c r="Q32" s="522"/>
      <c r="R32" s="373"/>
      <c r="S32" s="373"/>
      <c r="T32" s="373"/>
      <c r="U32" s="373"/>
      <c r="V32" s="350" t="s">
        <v>2</v>
      </c>
      <c r="W32" s="351">
        <v>91999907</v>
      </c>
      <c r="X32" s="352" t="s">
        <v>596</v>
      </c>
      <c r="Y32" s="352" t="s">
        <v>506</v>
      </c>
      <c r="Z32" s="353">
        <v>7065</v>
      </c>
      <c r="AA32" s="354">
        <v>100</v>
      </c>
      <c r="AB32" s="438" t="s">
        <v>539</v>
      </c>
      <c r="AC32" s="439"/>
    </row>
    <row r="33" spans="1:31">
      <c r="A33" s="409" t="s">
        <v>579</v>
      </c>
      <c r="B33" s="325"/>
      <c r="C33" s="326"/>
      <c r="D33" s="326"/>
      <c r="E33" s="334"/>
      <c r="F33" s="326"/>
      <c r="G33" s="326"/>
      <c r="H33" s="326"/>
      <c r="I33" s="326"/>
      <c r="J33" s="444"/>
      <c r="K33" s="334"/>
      <c r="L33" s="334"/>
      <c r="M33" s="334"/>
      <c r="N33" s="334"/>
      <c r="O33" s="334"/>
      <c r="P33" s="697"/>
      <c r="Q33" s="374"/>
      <c r="R33" s="374"/>
      <c r="S33" s="374"/>
      <c r="T33" s="374"/>
      <c r="U33" s="374"/>
      <c r="V33" s="350" t="s">
        <v>2</v>
      </c>
      <c r="W33" s="351">
        <v>91999908</v>
      </c>
      <c r="X33" s="352" t="s">
        <v>505</v>
      </c>
      <c r="Y33" s="352" t="s">
        <v>506</v>
      </c>
      <c r="Z33" s="353">
        <v>7065</v>
      </c>
      <c r="AA33" s="354">
        <v>100</v>
      </c>
      <c r="AB33" s="438" t="s">
        <v>539</v>
      </c>
      <c r="AC33" s="439"/>
    </row>
    <row r="34" spans="1:31">
      <c r="A34" s="445" t="s">
        <v>592</v>
      </c>
      <c r="B34" s="326">
        <f>ROUND(B127*B87,0)</f>
        <v>2500000</v>
      </c>
      <c r="C34" s="326">
        <f>ROUND(C127*C87,0)</f>
        <v>2250000</v>
      </c>
      <c r="D34" s="326"/>
      <c r="E34" s="326">
        <f t="shared" ref="E34:O34" si="12">ROUND(E127*E87,0)</f>
        <v>2500000</v>
      </c>
      <c r="F34" s="326">
        <f t="shared" si="12"/>
        <v>2000000</v>
      </c>
      <c r="G34" s="326">
        <f t="shared" si="12"/>
        <v>0</v>
      </c>
      <c r="H34" s="326">
        <f t="shared" si="12"/>
        <v>0</v>
      </c>
      <c r="I34" s="326">
        <f t="shared" si="12"/>
        <v>0</v>
      </c>
      <c r="J34" s="326">
        <f t="shared" si="12"/>
        <v>1500000</v>
      </c>
      <c r="K34" s="326">
        <f t="shared" si="12"/>
        <v>2500000</v>
      </c>
      <c r="L34" s="326">
        <f t="shared" si="12"/>
        <v>2500000</v>
      </c>
      <c r="M34" s="326">
        <f t="shared" si="12"/>
        <v>2500000</v>
      </c>
      <c r="N34" s="326">
        <f t="shared" si="12"/>
        <v>2500000</v>
      </c>
      <c r="O34" s="326">
        <f t="shared" si="12"/>
        <v>0</v>
      </c>
      <c r="P34" s="697">
        <f t="shared" si="8"/>
        <v>20750000</v>
      </c>
      <c r="Q34" s="373" t="s">
        <v>525</v>
      </c>
      <c r="R34" s="373"/>
      <c r="S34" s="373"/>
      <c r="T34" s="373"/>
      <c r="U34" s="373" t="s">
        <v>525</v>
      </c>
      <c r="V34" s="350" t="s">
        <v>1332</v>
      </c>
      <c r="W34" s="351">
        <v>91999906</v>
      </c>
      <c r="X34" s="352" t="s">
        <v>692</v>
      </c>
      <c r="Y34" s="352" t="s">
        <v>1154</v>
      </c>
      <c r="Z34" s="353">
        <v>7070</v>
      </c>
      <c r="AA34" s="354">
        <v>200</v>
      </c>
      <c r="AB34" s="352" t="s">
        <v>1329</v>
      </c>
      <c r="AC34" s="355"/>
    </row>
    <row r="35" spans="1:31">
      <c r="A35" s="442" t="s">
        <v>491</v>
      </c>
      <c r="B35" s="326">
        <f>ROUND(B128*B87,0)</f>
        <v>730000</v>
      </c>
      <c r="C35" s="326">
        <f>ROUND(C128*C87,0)</f>
        <v>657000</v>
      </c>
      <c r="D35" s="326"/>
      <c r="E35" s="326">
        <f t="shared" ref="E35:O35" si="13">ROUND(E128*E87,0)</f>
        <v>730000</v>
      </c>
      <c r="F35" s="326">
        <f t="shared" si="13"/>
        <v>584000</v>
      </c>
      <c r="G35" s="326">
        <f t="shared" si="13"/>
        <v>0</v>
      </c>
      <c r="H35" s="326">
        <f t="shared" si="13"/>
        <v>0</v>
      </c>
      <c r="I35" s="326">
        <f t="shared" si="13"/>
        <v>0</v>
      </c>
      <c r="J35" s="326">
        <f t="shared" si="13"/>
        <v>438000</v>
      </c>
      <c r="K35" s="326">
        <f t="shared" si="13"/>
        <v>730000</v>
      </c>
      <c r="L35" s="326">
        <f t="shared" si="13"/>
        <v>730000</v>
      </c>
      <c r="M35" s="326">
        <f t="shared" si="13"/>
        <v>730000</v>
      </c>
      <c r="N35" s="326">
        <f t="shared" si="13"/>
        <v>730000</v>
      </c>
      <c r="O35" s="326">
        <f t="shared" si="13"/>
        <v>0</v>
      </c>
      <c r="P35" s="697">
        <f t="shared" si="8"/>
        <v>6059000</v>
      </c>
      <c r="Q35" s="373" t="s">
        <v>525</v>
      </c>
      <c r="R35" s="373"/>
      <c r="S35" s="373"/>
      <c r="T35" s="373"/>
      <c r="U35" s="373" t="s">
        <v>525</v>
      </c>
      <c r="V35" s="350" t="s">
        <v>2</v>
      </c>
      <c r="W35" s="351">
        <v>91999907</v>
      </c>
      <c r="X35" s="352" t="s">
        <v>596</v>
      </c>
      <c r="Y35" s="352" t="s">
        <v>506</v>
      </c>
      <c r="Z35" s="353">
        <v>7070</v>
      </c>
      <c r="AA35" s="354">
        <v>200</v>
      </c>
      <c r="AB35" s="438" t="s">
        <v>539</v>
      </c>
      <c r="AC35" s="439"/>
    </row>
    <row r="36" spans="1:31">
      <c r="A36" s="405"/>
      <c r="B36" s="325"/>
      <c r="C36" s="326"/>
      <c r="D36" s="326"/>
      <c r="E36" s="326"/>
      <c r="F36" s="326"/>
      <c r="G36" s="326"/>
      <c r="H36" s="326"/>
      <c r="I36" s="326"/>
      <c r="J36" s="326"/>
      <c r="K36" s="326"/>
      <c r="L36" s="326"/>
      <c r="M36" s="326"/>
      <c r="N36" s="326"/>
      <c r="O36" s="326"/>
      <c r="P36" s="338"/>
      <c r="Q36" s="373"/>
      <c r="R36" s="373"/>
      <c r="S36" s="373"/>
      <c r="T36" s="373"/>
      <c r="U36" s="373"/>
      <c r="V36" s="350" t="s">
        <v>2</v>
      </c>
      <c r="W36" s="351">
        <v>91999908</v>
      </c>
      <c r="X36" s="352" t="s">
        <v>505</v>
      </c>
      <c r="Y36" s="352" t="s">
        <v>506</v>
      </c>
      <c r="Z36" s="353">
        <v>7070</v>
      </c>
      <c r="AA36" s="354">
        <v>200</v>
      </c>
      <c r="AB36" s="438" t="s">
        <v>539</v>
      </c>
      <c r="AC36" s="439"/>
    </row>
    <row r="37" spans="1:31">
      <c r="A37" s="510" t="s">
        <v>569</v>
      </c>
      <c r="B37" s="326"/>
      <c r="C37" s="326"/>
      <c r="D37" s="326"/>
      <c r="E37" s="334"/>
      <c r="F37" s="326"/>
      <c r="G37" s="326"/>
      <c r="H37" s="326"/>
      <c r="I37" s="326"/>
      <c r="J37" s="326"/>
      <c r="K37" s="334"/>
      <c r="L37" s="334"/>
      <c r="M37" s="334"/>
      <c r="N37" s="334"/>
      <c r="O37" s="334"/>
      <c r="P37" s="338"/>
      <c r="Q37" s="373"/>
      <c r="R37" s="373"/>
      <c r="S37" s="373"/>
      <c r="T37" s="373"/>
      <c r="U37" s="373"/>
      <c r="V37" s="350" t="s">
        <v>2</v>
      </c>
      <c r="W37" s="351">
        <v>91999901</v>
      </c>
      <c r="X37" s="352" t="s">
        <v>505</v>
      </c>
      <c r="Y37" s="352" t="s">
        <v>506</v>
      </c>
      <c r="Z37" s="353">
        <v>9140</v>
      </c>
      <c r="AA37" s="354"/>
      <c r="AB37" s="438">
        <v>0.76</v>
      </c>
      <c r="AC37" s="439"/>
    </row>
    <row r="38" spans="1:31">
      <c r="A38" s="436" t="s">
        <v>532</v>
      </c>
      <c r="B38" s="326">
        <f>IF(OR(B18="A",B18="B"),ROUND(ROUND(2369796*B16*B19*IF(B17&lt;3,0,IF(B17&lt;6,50%,100%)),0)*B13/365,0),ROUND(ROUND(2466.55*$B$4,0)*B19*B16*B13/365,0))</f>
        <v>201270</v>
      </c>
      <c r="C38" s="326">
        <f>IF(OR(C18="A",C18="B"),ROUND(ROUND(2369796*C16*C19*IF(C17&lt;3,0,IF(C17&lt;6,50%,100%)),0)*C13/365,0),ROUND(ROUND(2466.55*$B$4,0)*C19*C16*C13/365,0))</f>
        <v>362287</v>
      </c>
      <c r="D38" s="326">
        <f>IF(OR(D18="A",D18="B"),ROUND(ROUND(2369796*D16*D19*IF(D17&lt;3,0,IF(D17&lt;6,50%,100%)),0)*D13/365,0),ROUND(ROUND(2466.55*$B$4,0)*D19*D16*D13/365,0))</f>
        <v>0</v>
      </c>
      <c r="E38" s="326">
        <f>IF(OR(E18="A",E18="B"),ROUND(ROUND(2369796*E16*E19*IF(E17&lt;3,0,IF(E17&lt;6,50%,100%)),0)*E13/365,0),ROUND(ROUND(2466.55*$B$4,0)*E19*E16*E13/365,0))</f>
        <v>301906</v>
      </c>
      <c r="F38" s="326"/>
      <c r="G38" s="326"/>
      <c r="H38" s="326">
        <f>IF(OR(H18="A",H18="B"),ROUND(ROUND(2369796*H16*H19*IF(H17&lt;3,0,IF(H17&lt;6,50%,100%)),0)*H13/365,0),ROUND(ROUND(2466.55*$B$4,0)*H19*H16*H13/365,0))</f>
        <v>4861165</v>
      </c>
      <c r="I38" s="326"/>
      <c r="J38" s="326"/>
      <c r="K38" s="326"/>
      <c r="L38" s="326"/>
      <c r="M38" s="326"/>
      <c r="N38" s="326"/>
      <c r="O38" s="326"/>
      <c r="P38" s="339">
        <f>SUM(B38:O38)</f>
        <v>5726628</v>
      </c>
      <c r="Q38" s="373"/>
      <c r="R38" s="373" t="s">
        <v>591</v>
      </c>
      <c r="S38" s="373"/>
      <c r="T38" s="373"/>
      <c r="U38" s="373"/>
      <c r="V38" s="350" t="s">
        <v>2</v>
      </c>
      <c r="W38" s="351">
        <v>91999907</v>
      </c>
      <c r="X38" s="352" t="s">
        <v>505</v>
      </c>
      <c r="Y38" s="352" t="s">
        <v>506</v>
      </c>
      <c r="Z38" s="353">
        <v>9140</v>
      </c>
      <c r="AA38" s="354"/>
      <c r="AB38" s="438">
        <v>0.56000000000000005</v>
      </c>
      <c r="AC38" s="439"/>
    </row>
    <row r="39" spans="1:31">
      <c r="A39" s="405"/>
      <c r="B39" s="325"/>
      <c r="C39" s="326"/>
      <c r="D39" s="326"/>
      <c r="E39" s="334"/>
      <c r="F39" s="362"/>
      <c r="G39" s="362"/>
      <c r="H39" s="362"/>
      <c r="I39" s="362"/>
      <c r="J39" s="362"/>
      <c r="K39" s="334"/>
      <c r="L39" s="334"/>
      <c r="M39" s="334"/>
      <c r="N39" s="334"/>
      <c r="O39" s="334"/>
      <c r="P39" s="338"/>
      <c r="Q39" s="373"/>
      <c r="R39" s="373"/>
      <c r="S39" s="373"/>
      <c r="T39" s="373"/>
      <c r="U39" s="373"/>
      <c r="V39" s="350" t="s">
        <v>747</v>
      </c>
      <c r="W39" s="351">
        <v>91999905</v>
      </c>
      <c r="X39" s="352" t="s">
        <v>505</v>
      </c>
      <c r="Y39" s="352" t="s">
        <v>506</v>
      </c>
      <c r="Z39" s="353" t="s">
        <v>641</v>
      </c>
      <c r="AA39" s="354"/>
      <c r="AB39" s="438">
        <v>1</v>
      </c>
      <c r="AC39" s="439"/>
    </row>
    <row r="40" spans="1:31">
      <c r="A40" s="441" t="s">
        <v>61</v>
      </c>
      <c r="B40" s="359">
        <f t="shared" ref="B40:O40" si="14">SUM(B24:B36)</f>
        <v>22830000</v>
      </c>
      <c r="C40" s="360">
        <f t="shared" si="14"/>
        <v>19611000</v>
      </c>
      <c r="D40" s="360">
        <f t="shared" si="14"/>
        <v>0</v>
      </c>
      <c r="E40" s="360">
        <f t="shared" si="14"/>
        <v>24730000</v>
      </c>
      <c r="F40" s="360">
        <f t="shared" si="14"/>
        <v>23784000</v>
      </c>
      <c r="G40" s="360">
        <f t="shared" si="14"/>
        <v>74256000</v>
      </c>
      <c r="H40" s="360">
        <f t="shared" si="14"/>
        <v>80927438</v>
      </c>
      <c r="I40" s="360">
        <f t="shared" si="14"/>
        <v>73530844</v>
      </c>
      <c r="J40" s="360">
        <f t="shared" si="14"/>
        <v>51138000</v>
      </c>
      <c r="K40" s="360">
        <f t="shared" si="14"/>
        <v>26730000</v>
      </c>
      <c r="L40" s="360">
        <f t="shared" si="14"/>
        <v>25230000</v>
      </c>
      <c r="M40" s="360">
        <f t="shared" si="14"/>
        <v>26653100</v>
      </c>
      <c r="N40" s="480">
        <f t="shared" si="14"/>
        <v>24580000</v>
      </c>
      <c r="O40" s="698">
        <f t="shared" si="14"/>
        <v>4500000</v>
      </c>
      <c r="P40" s="338">
        <f>SUM(B40:O40)</f>
        <v>478500382</v>
      </c>
      <c r="Q40" s="373"/>
      <c r="R40" s="373"/>
      <c r="S40" s="373"/>
      <c r="T40" s="373"/>
      <c r="U40" s="373"/>
      <c r="V40" s="562" t="s">
        <v>2</v>
      </c>
      <c r="W40" s="563">
        <v>91999901</v>
      </c>
      <c r="X40" s="564" t="s">
        <v>770</v>
      </c>
      <c r="Y40" s="564" t="s">
        <v>1154</v>
      </c>
      <c r="Z40" s="565">
        <v>3081</v>
      </c>
      <c r="AA40" s="561">
        <v>3000000</v>
      </c>
      <c r="AB40" s="564"/>
      <c r="AC40" s="566"/>
    </row>
    <row r="41" spans="1:31">
      <c r="A41" s="411"/>
      <c r="B41" s="325"/>
      <c r="C41" s="326"/>
      <c r="D41" s="326"/>
      <c r="E41" s="334"/>
      <c r="F41" s="326"/>
      <c r="G41" s="326"/>
      <c r="H41" s="326"/>
      <c r="I41" s="326"/>
      <c r="J41" s="326"/>
      <c r="K41" s="334"/>
      <c r="L41" s="334"/>
      <c r="M41" s="334"/>
      <c r="N41" s="334"/>
      <c r="O41" s="334"/>
      <c r="P41" s="338"/>
      <c r="Q41" s="373"/>
      <c r="R41" s="373"/>
      <c r="S41" s="373"/>
      <c r="T41" s="373"/>
      <c r="U41" s="373"/>
      <c r="V41" s="562" t="s">
        <v>2</v>
      </c>
      <c r="W41" s="563">
        <v>91999902</v>
      </c>
      <c r="X41" s="564" t="s">
        <v>770</v>
      </c>
      <c r="Y41" s="564" t="s">
        <v>1154</v>
      </c>
      <c r="Z41" s="565">
        <v>3081</v>
      </c>
      <c r="AA41" s="561">
        <v>3000000</v>
      </c>
      <c r="AB41" s="564"/>
      <c r="AC41" s="566"/>
    </row>
    <row r="42" spans="1:31" ht="15.6">
      <c r="A42" s="412" t="s">
        <v>60</v>
      </c>
      <c r="B42" s="363"/>
      <c r="C42" s="356"/>
      <c r="D42" s="356"/>
      <c r="E42" s="364"/>
      <c r="F42" s="356"/>
      <c r="G42" s="356"/>
      <c r="H42" s="356"/>
      <c r="I42" s="356"/>
      <c r="J42" s="356"/>
      <c r="K42" s="364"/>
      <c r="L42" s="364"/>
      <c r="M42" s="364"/>
      <c r="N42" s="364"/>
      <c r="O42" s="364"/>
      <c r="P42" s="338"/>
      <c r="Q42" s="373"/>
      <c r="R42" s="373"/>
      <c r="S42" s="373"/>
      <c r="T42" s="373"/>
      <c r="U42" s="373"/>
      <c r="V42" s="562" t="s">
        <v>2</v>
      </c>
      <c r="W42" s="563">
        <v>91999904</v>
      </c>
      <c r="X42" s="564" t="s">
        <v>769</v>
      </c>
      <c r="Y42" s="564" t="s">
        <v>1154</v>
      </c>
      <c r="Z42" s="565">
        <v>3081</v>
      </c>
      <c r="AA42" s="561">
        <v>3000000</v>
      </c>
      <c r="AB42" s="564"/>
      <c r="AC42" s="566"/>
    </row>
    <row r="43" spans="1:31">
      <c r="A43" s="407" t="s">
        <v>55</v>
      </c>
      <c r="B43" s="363"/>
      <c r="C43" s="356"/>
      <c r="D43" s="356"/>
      <c r="E43" s="364"/>
      <c r="F43" s="356"/>
      <c r="G43" s="356"/>
      <c r="H43" s="356"/>
      <c r="I43" s="356"/>
      <c r="J43" s="356"/>
      <c r="K43" s="364"/>
      <c r="L43" s="364"/>
      <c r="M43" s="364"/>
      <c r="N43" s="364"/>
      <c r="O43" s="364"/>
      <c r="P43" s="338"/>
      <c r="Q43" s="373"/>
      <c r="R43" s="373"/>
      <c r="S43" s="373"/>
      <c r="T43" s="373"/>
      <c r="U43" s="373"/>
      <c r="V43" s="562" t="s">
        <v>2</v>
      </c>
      <c r="W43" s="563">
        <v>91999905</v>
      </c>
      <c r="X43" s="564" t="s">
        <v>769</v>
      </c>
      <c r="Y43" s="564" t="s">
        <v>1154</v>
      </c>
      <c r="Z43" s="565">
        <v>3081</v>
      </c>
      <c r="AA43" s="561">
        <v>3000000</v>
      </c>
      <c r="AB43" s="564"/>
      <c r="AC43" s="566"/>
    </row>
    <row r="44" spans="1:31">
      <c r="A44" s="417" t="s">
        <v>573</v>
      </c>
      <c r="B44" s="326">
        <f>ROUND(B95*'New Hire'!C54,0)</f>
        <v>1008000</v>
      </c>
      <c r="C44" s="326">
        <f>ROUND(C95*'New Hire'!D54,0)</f>
        <v>832320</v>
      </c>
      <c r="D44" s="326">
        <f>ROUND(D95*'New Hire'!E54,0)</f>
        <v>0</v>
      </c>
      <c r="E44" s="326">
        <f>ROUND(E95*'New Hire'!F54,0)</f>
        <v>1160000</v>
      </c>
      <c r="F44" s="326">
        <f>ROUND(F95*'New Hire'!G54,0)</f>
        <v>0</v>
      </c>
      <c r="G44" s="326">
        <f>ROUND(G95*'New Hire'!H54,0)</f>
        <v>0</v>
      </c>
      <c r="H44" s="326">
        <f>ROUND(H95*'New Hire'!I54,0)</f>
        <v>0</v>
      </c>
      <c r="I44" s="326">
        <f>ROUND(I95*'New Hire'!J54,0)</f>
        <v>0</v>
      </c>
      <c r="J44" s="326">
        <f>ROUND(J95*'New Hire'!K54,0)</f>
        <v>2384000</v>
      </c>
      <c r="K44" s="326">
        <f>ROUND(K95*'New Hire'!L54,0)</f>
        <v>0</v>
      </c>
      <c r="L44" s="326">
        <f>ROUND(L95*'New Hire'!M54,0)</f>
        <v>1200000</v>
      </c>
      <c r="M44" s="326">
        <f>ROUND(M95*'New Hire'!N54,0)</f>
        <v>0</v>
      </c>
      <c r="N44" s="326">
        <f>ROUND(N95*'New Hire'!O54,0)</f>
        <v>0</v>
      </c>
      <c r="O44" s="326">
        <f>ROUND(O95*'New Hire'!P54,0)</f>
        <v>0</v>
      </c>
      <c r="P44" s="338">
        <f t="shared" ref="P44:P51" si="15">SUM(B44:O44)</f>
        <v>6584320</v>
      </c>
      <c r="Q44" s="373"/>
      <c r="R44" s="373"/>
      <c r="S44" s="373"/>
      <c r="T44" s="373"/>
      <c r="U44" s="373"/>
      <c r="V44" s="562" t="s">
        <v>2</v>
      </c>
      <c r="W44" s="563">
        <v>91999909</v>
      </c>
      <c r="X44" s="564" t="s">
        <v>769</v>
      </c>
      <c r="Y44" s="564" t="s">
        <v>1154</v>
      </c>
      <c r="Z44" s="565">
        <v>3081</v>
      </c>
      <c r="AA44" s="561">
        <v>3000000</v>
      </c>
      <c r="AB44" s="564"/>
      <c r="AC44" s="566"/>
    </row>
    <row r="45" spans="1:31">
      <c r="A45" s="436" t="s">
        <v>574</v>
      </c>
      <c r="B45" s="326">
        <f>ROUND(MIN(B96,83600000)*'New Hire'!C57,0)</f>
        <v>126000</v>
      </c>
      <c r="C45" s="326">
        <f>ROUND(MIN(C96,83600000)*'New Hire'!D57,0)</f>
        <v>104040</v>
      </c>
      <c r="D45" s="326">
        <v>0</v>
      </c>
      <c r="E45" s="326">
        <f>ROUND(MIN(E96,83600000)*'New Hire'!F57,0)</f>
        <v>145000</v>
      </c>
      <c r="F45" s="326">
        <f>ROUND(MIN(F96,83600000)*'New Hire'!G57,0)</f>
        <v>0</v>
      </c>
      <c r="G45" s="326">
        <f>ROUND(MIN(G96,83600000)*'New Hire'!H57,0)</f>
        <v>0</v>
      </c>
      <c r="H45" s="326">
        <f>ROUND(MIN(H96,83600000)*'New Hire'!I57,0)</f>
        <v>0</v>
      </c>
      <c r="I45" s="326">
        <f>ROUND(MIN(I96,83600000)*'New Hire'!J57,0)</f>
        <v>0</v>
      </c>
      <c r="J45" s="326">
        <f>ROUND(MIN(J96,83600000)*'New Hire'!K57,0)</f>
        <v>450000</v>
      </c>
      <c r="K45" s="326">
        <f>ROUND(MIN(K96,83600000)*'New Hire'!L57,0)</f>
        <v>0</v>
      </c>
      <c r="L45" s="326">
        <f>ROUND(MIN(L96,83600000)*'New Hire'!M57,0)</f>
        <v>150000</v>
      </c>
      <c r="M45" s="326">
        <f>ROUND(MIN(M96,83600000)*'New Hire'!N57,0)</f>
        <v>0</v>
      </c>
      <c r="N45" s="326">
        <f>ROUND(MIN(N96,83600000)*'New Hire'!O57,0)</f>
        <v>0</v>
      </c>
      <c r="O45" s="326">
        <f>ROUND(MIN(O96,83600000)*'New Hire'!P57,0)</f>
        <v>0</v>
      </c>
      <c r="P45" s="338">
        <f t="shared" si="15"/>
        <v>975040</v>
      </c>
      <c r="Q45" s="373"/>
      <c r="R45" s="373"/>
      <c r="S45" s="373"/>
      <c r="T45" s="373"/>
      <c r="U45" s="373"/>
      <c r="V45" s="562" t="s">
        <v>2</v>
      </c>
      <c r="W45" s="563">
        <v>91999910</v>
      </c>
      <c r="X45" s="564" t="s">
        <v>769</v>
      </c>
      <c r="Y45" s="564" t="s">
        <v>1154</v>
      </c>
      <c r="Z45" s="565">
        <v>3081</v>
      </c>
      <c r="AA45" s="561">
        <v>3000000</v>
      </c>
      <c r="AB45" s="564"/>
      <c r="AC45" s="566"/>
      <c r="AD45" s="287"/>
      <c r="AE45" s="287"/>
    </row>
    <row r="46" spans="1:31">
      <c r="A46" s="436" t="s">
        <v>575</v>
      </c>
      <c r="B46" s="326">
        <f>ROUND(B95*'New Hire'!C60,0)</f>
        <v>189000</v>
      </c>
      <c r="C46" s="326">
        <f>ROUND(C95*'New Hire'!D60,0)</f>
        <v>156060</v>
      </c>
      <c r="D46" s="326">
        <f>ROUND(D95*'New Hire'!E60,0)</f>
        <v>0</v>
      </c>
      <c r="E46" s="326">
        <f>ROUND(E95*'New Hire'!F60,0)</f>
        <v>217500</v>
      </c>
      <c r="F46" s="326">
        <f>ROUND(F95*'New Hire'!G60,0)</f>
        <v>0</v>
      </c>
      <c r="G46" s="326">
        <f>ROUND(G95*'New Hire'!H60,0)</f>
        <v>447000</v>
      </c>
      <c r="H46" s="326">
        <f>ROUND(H95*'New Hire'!I60,0)</f>
        <v>447000</v>
      </c>
      <c r="I46" s="326">
        <f>ROUND(I95*'New Hire'!J60,0)</f>
        <v>447000</v>
      </c>
      <c r="J46" s="326">
        <f>ROUND(J95*'New Hire'!K60,0)</f>
        <v>447000</v>
      </c>
      <c r="K46" s="326">
        <f>ROUND(K95*'New Hire'!L60,0)</f>
        <v>0</v>
      </c>
      <c r="L46" s="326">
        <f>ROUND(L95*'New Hire'!M60,0)</f>
        <v>225000</v>
      </c>
      <c r="M46" s="326">
        <f>ROUND(M95*'New Hire'!N60,0)</f>
        <v>0</v>
      </c>
      <c r="N46" s="326">
        <f>ROUND(N95*'New Hire'!O60,0)</f>
        <v>0</v>
      </c>
      <c r="O46" s="326">
        <f>ROUND(O95*'New Hire'!P60,0)</f>
        <v>0</v>
      </c>
      <c r="P46" s="338">
        <f t="shared" si="15"/>
        <v>2575560</v>
      </c>
      <c r="Q46" s="373"/>
      <c r="R46" s="373"/>
      <c r="S46" s="373"/>
      <c r="T46" s="373"/>
      <c r="U46" s="373"/>
      <c r="V46" s="562" t="s">
        <v>2</v>
      </c>
      <c r="W46" s="563">
        <v>91999911</v>
      </c>
      <c r="X46" s="564" t="s">
        <v>769</v>
      </c>
      <c r="Y46" s="564" t="s">
        <v>1154</v>
      </c>
      <c r="Z46" s="565">
        <v>3081</v>
      </c>
      <c r="AA46" s="561">
        <v>3000000</v>
      </c>
      <c r="AB46" s="564"/>
      <c r="AC46" s="566"/>
      <c r="AD46" s="287"/>
      <c r="AE46" s="287"/>
    </row>
    <row r="47" spans="1:31">
      <c r="A47" s="405" t="s">
        <v>111</v>
      </c>
      <c r="B47" s="325">
        <f>B102</f>
        <v>337827</v>
      </c>
      <c r="C47" s="326">
        <f>C102</f>
        <v>0</v>
      </c>
      <c r="D47" s="326"/>
      <c r="E47" s="326">
        <f t="shared" ref="E47:O47" si="16">E102</f>
        <v>2180191</v>
      </c>
      <c r="F47" s="326">
        <f t="shared" si="16"/>
        <v>2120000</v>
      </c>
      <c r="G47" s="326">
        <f t="shared" si="16"/>
        <v>13592700</v>
      </c>
      <c r="H47" s="362">
        <f t="shared" si="16"/>
        <v>17157721</v>
      </c>
      <c r="I47" s="326">
        <f t="shared" si="16"/>
        <v>14706169</v>
      </c>
      <c r="J47" s="326">
        <f t="shared" si="16"/>
        <v>5979750</v>
      </c>
      <c r="K47" s="326">
        <f t="shared" si="16"/>
        <v>1425000</v>
      </c>
      <c r="L47" s="326">
        <f t="shared" si="16"/>
        <v>963750</v>
      </c>
      <c r="M47" s="326">
        <f t="shared" si="16"/>
        <v>1231733</v>
      </c>
      <c r="N47" s="326">
        <f t="shared" si="16"/>
        <v>1102500</v>
      </c>
      <c r="O47" s="326">
        <f t="shared" si="16"/>
        <v>450000</v>
      </c>
      <c r="P47" s="338">
        <f t="shared" si="15"/>
        <v>61247341</v>
      </c>
      <c r="Q47" s="373"/>
      <c r="R47" s="373"/>
      <c r="S47" s="373"/>
      <c r="T47" s="373"/>
      <c r="U47" s="373"/>
      <c r="V47" s="562" t="s">
        <v>2</v>
      </c>
      <c r="W47" s="563">
        <v>91999912</v>
      </c>
      <c r="X47" s="564" t="s">
        <v>769</v>
      </c>
      <c r="Y47" s="564" t="s">
        <v>1154</v>
      </c>
      <c r="Z47" s="565">
        <v>3081</v>
      </c>
      <c r="AA47" s="561">
        <v>3000000</v>
      </c>
      <c r="AB47" s="564"/>
      <c r="AC47" s="566"/>
      <c r="AD47" s="287"/>
      <c r="AE47" s="287"/>
    </row>
    <row r="48" spans="1:31">
      <c r="A48" s="436" t="s">
        <v>512</v>
      </c>
      <c r="B48" s="326"/>
      <c r="C48" s="326"/>
      <c r="D48" s="326"/>
      <c r="E48" s="326"/>
      <c r="F48" s="326"/>
      <c r="G48" s="326"/>
      <c r="H48" s="326">
        <f>H90-H62</f>
        <v>339726</v>
      </c>
      <c r="I48" s="326"/>
      <c r="J48" s="326"/>
      <c r="K48" s="326"/>
      <c r="L48" s="326"/>
      <c r="M48" s="326"/>
      <c r="N48" s="326"/>
      <c r="O48" s="326"/>
      <c r="P48" s="338">
        <f t="shared" si="15"/>
        <v>339726</v>
      </c>
      <c r="Q48" s="373"/>
      <c r="R48" s="373"/>
      <c r="S48" s="373"/>
      <c r="T48" s="373"/>
      <c r="U48" s="373"/>
      <c r="V48" s="562" t="s">
        <v>2</v>
      </c>
      <c r="W48" s="563">
        <v>91999913</v>
      </c>
      <c r="X48" s="564" t="s">
        <v>769</v>
      </c>
      <c r="Y48" s="564" t="s">
        <v>1154</v>
      </c>
      <c r="Z48" s="565">
        <v>3081</v>
      </c>
      <c r="AA48" s="561">
        <v>3000000</v>
      </c>
      <c r="AB48" s="564"/>
      <c r="AC48" s="566"/>
      <c r="AD48" s="287"/>
      <c r="AE48" s="287"/>
    </row>
    <row r="49" spans="1:31">
      <c r="A49" s="436" t="s">
        <v>533</v>
      </c>
      <c r="B49" s="326">
        <f t="shared" ref="B49:H49" si="17">IF(OR(B18="A",B18="B"),ROUND(2369796*B19*B16/365,0),ROUND(2466.55*$B$4*B19*B16/365,0))-B38</f>
        <v>0</v>
      </c>
      <c r="C49" s="326">
        <f t="shared" si="17"/>
        <v>40254</v>
      </c>
      <c r="D49" s="326">
        <f t="shared" si="17"/>
        <v>0</v>
      </c>
      <c r="E49" s="326">
        <f t="shared" si="17"/>
        <v>301905</v>
      </c>
      <c r="F49" s="326">
        <f t="shared" si="17"/>
        <v>0</v>
      </c>
      <c r="G49" s="326">
        <f t="shared" si="17"/>
        <v>0</v>
      </c>
      <c r="H49" s="326">
        <f t="shared" si="17"/>
        <v>4861164</v>
      </c>
      <c r="I49" s="326"/>
      <c r="J49" s="326"/>
      <c r="K49" s="326"/>
      <c r="L49" s="326"/>
      <c r="M49" s="326"/>
      <c r="N49" s="326"/>
      <c r="O49" s="326"/>
      <c r="P49" s="339">
        <f t="shared" si="15"/>
        <v>5203323</v>
      </c>
      <c r="Q49" s="373"/>
      <c r="R49" s="373"/>
      <c r="S49" s="373"/>
      <c r="T49" s="373"/>
      <c r="U49" s="373"/>
      <c r="V49" s="562" t="s">
        <v>2</v>
      </c>
      <c r="W49" s="563">
        <v>91999901</v>
      </c>
      <c r="X49" s="564" t="s">
        <v>770</v>
      </c>
      <c r="Y49" s="564" t="s">
        <v>1154</v>
      </c>
      <c r="Z49" s="565" t="s">
        <v>771</v>
      </c>
      <c r="AA49" s="561">
        <v>3500000</v>
      </c>
      <c r="AB49" s="564"/>
      <c r="AC49" s="566"/>
      <c r="AD49" s="287"/>
      <c r="AE49" s="287"/>
    </row>
    <row r="50" spans="1:31">
      <c r="A50" s="436" t="s">
        <v>536</v>
      </c>
      <c r="B50" s="326"/>
      <c r="C50" s="326"/>
      <c r="D50" s="326"/>
      <c r="E50" s="326"/>
      <c r="F50" s="326"/>
      <c r="G50" s="326"/>
      <c r="H50" s="326">
        <f>H91</f>
        <v>594521</v>
      </c>
      <c r="I50" s="326"/>
      <c r="J50" s="326"/>
      <c r="K50" s="326"/>
      <c r="L50" s="326"/>
      <c r="M50" s="326"/>
      <c r="N50" s="326"/>
      <c r="O50" s="326"/>
      <c r="P50" s="338">
        <f t="shared" si="15"/>
        <v>594521</v>
      </c>
      <c r="Q50" s="373"/>
      <c r="R50" s="373"/>
      <c r="S50" s="341"/>
      <c r="T50" s="341"/>
      <c r="U50" s="341"/>
      <c r="V50" s="562" t="s">
        <v>2</v>
      </c>
      <c r="W50" s="563">
        <v>91999902</v>
      </c>
      <c r="X50" s="564" t="s">
        <v>770</v>
      </c>
      <c r="Y50" s="564" t="s">
        <v>1154</v>
      </c>
      <c r="Z50" s="565" t="s">
        <v>771</v>
      </c>
      <c r="AA50" s="561">
        <v>3500000</v>
      </c>
      <c r="AB50" s="564"/>
      <c r="AC50" s="566"/>
      <c r="AD50" s="287"/>
      <c r="AE50" s="287"/>
    </row>
    <row r="51" spans="1:31">
      <c r="A51" s="436" t="s">
        <v>537</v>
      </c>
      <c r="B51" s="326"/>
      <c r="C51" s="326"/>
      <c r="D51" s="326"/>
      <c r="E51" s="326"/>
      <c r="F51" s="326"/>
      <c r="G51" s="326"/>
      <c r="H51" s="326">
        <f>ROUND(ROUND(297.1*$B$4,0)*H19*H16/365,0)</f>
        <v>1171071</v>
      </c>
      <c r="I51" s="326"/>
      <c r="J51" s="326"/>
      <c r="K51" s="326"/>
      <c r="L51" s="326"/>
      <c r="M51" s="326"/>
      <c r="N51" s="326"/>
      <c r="O51" s="326"/>
      <c r="P51" s="339">
        <f t="shared" si="15"/>
        <v>1171071</v>
      </c>
      <c r="Q51" s="335"/>
      <c r="R51" s="335"/>
      <c r="S51" s="335"/>
      <c r="T51" s="335"/>
      <c r="U51" s="335"/>
      <c r="V51" s="562" t="s">
        <v>2</v>
      </c>
      <c r="W51" s="563">
        <v>91999904</v>
      </c>
      <c r="X51" s="564" t="s">
        <v>769</v>
      </c>
      <c r="Y51" s="564" t="s">
        <v>1154</v>
      </c>
      <c r="Z51" s="565" t="s">
        <v>771</v>
      </c>
      <c r="AA51" s="561">
        <v>3500000</v>
      </c>
      <c r="AB51" s="564"/>
      <c r="AC51" s="566"/>
      <c r="AD51" s="287"/>
      <c r="AE51" s="287"/>
    </row>
    <row r="52" spans="1:31">
      <c r="A52" s="405"/>
      <c r="B52" s="365"/>
      <c r="C52" s="366"/>
      <c r="D52" s="366"/>
      <c r="E52" s="367"/>
      <c r="F52" s="366"/>
      <c r="G52" s="366"/>
      <c r="H52" s="366"/>
      <c r="I52" s="366"/>
      <c r="J52" s="366"/>
      <c r="K52" s="367"/>
      <c r="L52" s="367"/>
      <c r="M52" s="367"/>
      <c r="N52" s="367"/>
      <c r="O52" s="367"/>
      <c r="P52" s="338"/>
      <c r="Q52" s="373"/>
      <c r="R52" s="373"/>
      <c r="S52" s="373"/>
      <c r="T52" s="373"/>
      <c r="U52" s="373"/>
      <c r="V52" s="562" t="s">
        <v>2</v>
      </c>
      <c r="W52" s="563">
        <v>91999905</v>
      </c>
      <c r="X52" s="564" t="s">
        <v>769</v>
      </c>
      <c r="Y52" s="564" t="s">
        <v>1154</v>
      </c>
      <c r="Z52" s="565" t="s">
        <v>771</v>
      </c>
      <c r="AA52" s="561">
        <v>3500000</v>
      </c>
      <c r="AB52" s="564"/>
      <c r="AC52" s="566"/>
      <c r="AD52" s="287"/>
      <c r="AE52" s="287"/>
    </row>
    <row r="53" spans="1:31">
      <c r="A53" s="413" t="s">
        <v>4</v>
      </c>
      <c r="B53" s="359">
        <f t="shared" ref="B53:O53" si="18">SUM(B44:B52)</f>
        <v>1660827</v>
      </c>
      <c r="C53" s="360">
        <f t="shared" si="18"/>
        <v>1132674</v>
      </c>
      <c r="D53" s="360">
        <f t="shared" si="18"/>
        <v>0</v>
      </c>
      <c r="E53" s="360">
        <f t="shared" si="18"/>
        <v>4004596</v>
      </c>
      <c r="F53" s="360">
        <f t="shared" si="18"/>
        <v>2120000</v>
      </c>
      <c r="G53" s="360">
        <f t="shared" si="18"/>
        <v>14039700</v>
      </c>
      <c r="H53" s="360">
        <f t="shared" si="18"/>
        <v>24571203</v>
      </c>
      <c r="I53" s="360">
        <f t="shared" si="18"/>
        <v>15153169</v>
      </c>
      <c r="J53" s="360">
        <f t="shared" si="18"/>
        <v>9260750</v>
      </c>
      <c r="K53" s="360">
        <f t="shared" si="18"/>
        <v>1425000</v>
      </c>
      <c r="L53" s="360">
        <f t="shared" si="18"/>
        <v>2538750</v>
      </c>
      <c r="M53" s="360">
        <f t="shared" si="18"/>
        <v>1231733</v>
      </c>
      <c r="N53" s="480">
        <f t="shared" si="18"/>
        <v>1102500</v>
      </c>
      <c r="O53" s="698">
        <f t="shared" si="18"/>
        <v>450000</v>
      </c>
      <c r="P53" s="338">
        <f>SUM(B53:O53)</f>
        <v>78690902</v>
      </c>
      <c r="Q53" s="373"/>
      <c r="R53" s="373"/>
      <c r="S53" s="373"/>
      <c r="T53" s="373"/>
      <c r="U53" s="373"/>
      <c r="V53" s="562" t="s">
        <v>2</v>
      </c>
      <c r="W53" s="563">
        <v>91999907</v>
      </c>
      <c r="X53" s="564" t="s">
        <v>769</v>
      </c>
      <c r="Y53" s="564" t="s">
        <v>1154</v>
      </c>
      <c r="Z53" s="565" t="s">
        <v>771</v>
      </c>
      <c r="AA53" s="561">
        <v>200</v>
      </c>
      <c r="AB53" s="564" t="s">
        <v>611</v>
      </c>
      <c r="AC53" s="566"/>
      <c r="AD53" s="287"/>
      <c r="AE53" s="287"/>
    </row>
    <row r="54" spans="1:31">
      <c r="A54" s="414"/>
      <c r="B54" s="325"/>
      <c r="C54" s="326"/>
      <c r="D54" s="326"/>
      <c r="E54" s="334"/>
      <c r="F54" s="326"/>
      <c r="G54" s="326"/>
      <c r="H54" s="326"/>
      <c r="I54" s="326"/>
      <c r="J54" s="326"/>
      <c r="K54" s="334"/>
      <c r="L54" s="334"/>
      <c r="M54" s="334"/>
      <c r="N54" s="334"/>
      <c r="O54" s="334"/>
      <c r="P54" s="338"/>
      <c r="Q54" s="373"/>
      <c r="R54" s="373"/>
      <c r="S54" s="373"/>
      <c r="T54" s="373"/>
      <c r="U54" s="373"/>
      <c r="V54" s="562" t="s">
        <v>2</v>
      </c>
      <c r="W54" s="563">
        <v>91999908</v>
      </c>
      <c r="X54" s="564" t="s">
        <v>769</v>
      </c>
      <c r="Y54" s="564" t="s">
        <v>1154</v>
      </c>
      <c r="Z54" s="565" t="s">
        <v>771</v>
      </c>
      <c r="AA54" s="561">
        <v>200</v>
      </c>
      <c r="AB54" s="564" t="s">
        <v>611</v>
      </c>
      <c r="AC54" s="566"/>
      <c r="AD54" s="287"/>
      <c r="AE54" s="287"/>
    </row>
    <row r="55" spans="1:31" ht="14.4" thickBot="1">
      <c r="A55" s="410" t="s">
        <v>5</v>
      </c>
      <c r="B55" s="327">
        <f t="shared" ref="B55:O55" si="19">B40-B53</f>
        <v>21169173</v>
      </c>
      <c r="C55" s="328">
        <f t="shared" si="19"/>
        <v>18478326</v>
      </c>
      <c r="D55" s="328">
        <f t="shared" si="19"/>
        <v>0</v>
      </c>
      <c r="E55" s="328">
        <f t="shared" si="19"/>
        <v>20725404</v>
      </c>
      <c r="F55" s="328">
        <f t="shared" si="19"/>
        <v>21664000</v>
      </c>
      <c r="G55" s="328">
        <f t="shared" si="19"/>
        <v>60216300</v>
      </c>
      <c r="H55" s="328">
        <f t="shared" si="19"/>
        <v>56356235</v>
      </c>
      <c r="I55" s="328">
        <f t="shared" si="19"/>
        <v>58377675</v>
      </c>
      <c r="J55" s="328">
        <f t="shared" si="19"/>
        <v>41877250</v>
      </c>
      <c r="K55" s="328">
        <f t="shared" si="19"/>
        <v>25305000</v>
      </c>
      <c r="L55" s="328">
        <f t="shared" si="19"/>
        <v>22691250</v>
      </c>
      <c r="M55" s="328">
        <f t="shared" si="19"/>
        <v>25421367</v>
      </c>
      <c r="N55" s="328">
        <f t="shared" si="19"/>
        <v>23477500</v>
      </c>
      <c r="O55" s="328">
        <f t="shared" si="19"/>
        <v>4050000</v>
      </c>
      <c r="P55" s="338">
        <f>SUM(B55:O55)</f>
        <v>399809480</v>
      </c>
      <c r="Q55" s="373"/>
      <c r="R55" s="373"/>
      <c r="S55" s="373"/>
      <c r="T55" s="373"/>
      <c r="U55" s="373"/>
      <c r="V55" s="562" t="s">
        <v>2</v>
      </c>
      <c r="W55" s="563">
        <v>91999909</v>
      </c>
      <c r="X55" s="564" t="s">
        <v>769</v>
      </c>
      <c r="Y55" s="564" t="s">
        <v>1154</v>
      </c>
      <c r="Z55" s="565" t="s">
        <v>771</v>
      </c>
      <c r="AA55" s="561">
        <v>3500000</v>
      </c>
      <c r="AB55" s="564"/>
      <c r="AC55" s="566"/>
      <c r="AD55" s="287"/>
      <c r="AE55" s="287"/>
    </row>
    <row r="56" spans="1:31" ht="14.4" thickTop="1">
      <c r="A56" s="415"/>
      <c r="B56" s="325"/>
      <c r="C56" s="326"/>
      <c r="D56" s="326"/>
      <c r="E56" s="334"/>
      <c r="F56" s="326"/>
      <c r="G56" s="326"/>
      <c r="H56" s="326"/>
      <c r="I56" s="326"/>
      <c r="J56" s="326"/>
      <c r="K56" s="334"/>
      <c r="L56" s="334"/>
      <c r="M56" s="334"/>
      <c r="N56" s="334"/>
      <c r="O56" s="334"/>
      <c r="P56" s="338"/>
      <c r="Q56" s="373"/>
      <c r="R56" s="373"/>
      <c r="S56" s="373"/>
      <c r="T56" s="373"/>
      <c r="U56" s="373"/>
      <c r="V56" s="562" t="s">
        <v>2</v>
      </c>
      <c r="W56" s="563">
        <v>91999910</v>
      </c>
      <c r="X56" s="564" t="s">
        <v>769</v>
      </c>
      <c r="Y56" s="564" t="s">
        <v>1154</v>
      </c>
      <c r="Z56" s="565" t="s">
        <v>771</v>
      </c>
      <c r="AA56" s="561">
        <v>3500000</v>
      </c>
      <c r="AB56" s="567"/>
      <c r="AC56" s="568"/>
      <c r="AD56" s="287"/>
      <c r="AE56" s="287"/>
    </row>
    <row r="57" spans="1:31" ht="15.6">
      <c r="A57" s="404" t="s">
        <v>62</v>
      </c>
      <c r="B57" s="368"/>
      <c r="C57" s="399"/>
      <c r="D57" s="399"/>
      <c r="E57" s="364"/>
      <c r="F57" s="399"/>
      <c r="G57" s="399"/>
      <c r="H57" s="400"/>
      <c r="I57" s="399"/>
      <c r="J57" s="399"/>
      <c r="K57" s="364"/>
      <c r="L57" s="364"/>
      <c r="M57" s="364"/>
      <c r="N57" s="364"/>
      <c r="O57" s="364"/>
      <c r="P57" s="660"/>
      <c r="Q57" s="373"/>
      <c r="R57" s="373"/>
      <c r="S57" s="373"/>
      <c r="T57" s="373"/>
      <c r="U57" s="373"/>
      <c r="V57" s="562" t="s">
        <v>2</v>
      </c>
      <c r="W57" s="563">
        <v>91999911</v>
      </c>
      <c r="X57" s="564" t="s">
        <v>769</v>
      </c>
      <c r="Y57" s="564" t="s">
        <v>1154</v>
      </c>
      <c r="Z57" s="565" t="s">
        <v>771</v>
      </c>
      <c r="AA57" s="561">
        <v>3500000</v>
      </c>
      <c r="AB57" s="567"/>
      <c r="AC57" s="568"/>
      <c r="AD57" s="287"/>
      <c r="AE57" s="287"/>
    </row>
    <row r="58" spans="1:31">
      <c r="A58" s="417" t="s">
        <v>570</v>
      </c>
      <c r="B58" s="326">
        <f>ROUND(MIN(B$95,29800000)*'New Hire'!C55,0)</f>
        <v>2142000</v>
      </c>
      <c r="C58" s="326">
        <f>ROUND(MIN(C$95,29800000)*'New Hire'!D55,0)</f>
        <v>1820700</v>
      </c>
      <c r="D58" s="326"/>
      <c r="E58" s="326">
        <f>ROUND(MIN(E$95,29800000)*'New Hire'!F55,0)</f>
        <v>2465000</v>
      </c>
      <c r="F58" s="326">
        <f>ROUND(MIN(F$95,29800000)*'New Hire'!G55,0)</f>
        <v>0</v>
      </c>
      <c r="G58" s="326">
        <f>ROUND(MIN(G$95,29800000)*'New Hire'!H55,0)</f>
        <v>1043000</v>
      </c>
      <c r="H58" s="326">
        <f>ROUND(MIN(H$95,29800000)*'New Hire'!I55,0)</f>
        <v>894000</v>
      </c>
      <c r="I58" s="326">
        <f>ROUND(MIN(I$95,29800000)*'New Hire'!J55,0)</f>
        <v>149000</v>
      </c>
      <c r="J58" s="326">
        <f>ROUND(MIN(J$95,29800000)*'New Hire'!K55,0)</f>
        <v>5066000</v>
      </c>
      <c r="K58" s="326">
        <f>ROUND(MIN(K$95,29800000)*'New Hire'!L55,0)</f>
        <v>0</v>
      </c>
      <c r="L58" s="326">
        <f>ROUND(MIN(L$95,29800000)*'New Hire'!M55,0)</f>
        <v>2550000</v>
      </c>
      <c r="M58" s="326">
        <f>ROUND(MIN(M$95,29800000)*'New Hire'!N55,0)</f>
        <v>0</v>
      </c>
      <c r="N58" s="326">
        <f>ROUND(MIN(N$95,29800000)*'New Hire'!O55,0)</f>
        <v>0</v>
      </c>
      <c r="O58" s="326">
        <f>ROUND(MIN(O$95,29800000)*'New Hire'!P55,0)</f>
        <v>0</v>
      </c>
      <c r="P58" s="339">
        <f>SUM(B58:O58)</f>
        <v>16129700</v>
      </c>
      <c r="Q58" s="373"/>
      <c r="R58" s="373"/>
      <c r="S58" s="373"/>
      <c r="T58" s="373"/>
      <c r="U58" s="373"/>
      <c r="V58" s="562" t="s">
        <v>2</v>
      </c>
      <c r="W58" s="563">
        <v>91999912</v>
      </c>
      <c r="X58" s="564" t="s">
        <v>769</v>
      </c>
      <c r="Y58" s="564" t="s">
        <v>1154</v>
      </c>
      <c r="Z58" s="565" t="s">
        <v>771</v>
      </c>
      <c r="AA58" s="561">
        <v>3500000</v>
      </c>
      <c r="AB58" s="567"/>
      <c r="AC58" s="568"/>
      <c r="AD58" s="287"/>
      <c r="AE58" s="287"/>
    </row>
    <row r="59" spans="1:31">
      <c r="A59" s="436" t="s">
        <v>571</v>
      </c>
      <c r="B59" s="326">
        <f>ROUND(MIN(B96,83600000)*'New Hire'!C58,0)</f>
        <v>126000</v>
      </c>
      <c r="C59" s="326">
        <f>ROUND(MIN(C96,83600000)*'New Hire'!D58,0)</f>
        <v>104040</v>
      </c>
      <c r="D59" s="326"/>
      <c r="E59" s="326">
        <f>ROUND(MIN(E96,83600000)*'New Hire'!F58,0)</f>
        <v>145000</v>
      </c>
      <c r="F59" s="326">
        <f>ROUND(MIN(F96,83600000)*'New Hire'!G58,0)</f>
        <v>0</v>
      </c>
      <c r="G59" s="326">
        <f>ROUND(MIN(G96,83600000)*'New Hire'!H58,0)</f>
        <v>0</v>
      </c>
      <c r="H59" s="326">
        <f>ROUND(MIN(H96,83600000)*'New Hire'!I58,0)</f>
        <v>0</v>
      </c>
      <c r="I59" s="326">
        <f>ROUND(MIN(I96,83600000)*'New Hire'!J58,0)</f>
        <v>0</v>
      </c>
      <c r="J59" s="326">
        <f>ROUND(MIN(J96,83600000)*'New Hire'!K58,0)</f>
        <v>450000</v>
      </c>
      <c r="K59" s="326">
        <f>ROUND(MIN(K96,83600000)*'New Hire'!L58,0)</f>
        <v>0</v>
      </c>
      <c r="L59" s="326">
        <f>ROUND(MIN(L96,83600000)*'New Hire'!M58,0)</f>
        <v>150000</v>
      </c>
      <c r="M59" s="326">
        <f>ROUND(MIN(M96,83600000)*'New Hire'!N58,0)</f>
        <v>0</v>
      </c>
      <c r="N59" s="326">
        <f>ROUND(MIN(N96,83600000)*'New Hire'!O58,0)</f>
        <v>0</v>
      </c>
      <c r="O59" s="326">
        <f>ROUND(MIN(O96,83600000)*'New Hire'!P58,0)</f>
        <v>0</v>
      </c>
      <c r="P59" s="339">
        <f>SUM(B59:O59)</f>
        <v>975040</v>
      </c>
      <c r="Q59" s="373"/>
      <c r="R59" s="373"/>
      <c r="S59" s="373"/>
      <c r="T59" s="373"/>
      <c r="U59" s="373"/>
      <c r="V59" s="562" t="s">
        <v>2</v>
      </c>
      <c r="W59" s="563">
        <v>91999913</v>
      </c>
      <c r="X59" s="564" t="s">
        <v>769</v>
      </c>
      <c r="Y59" s="564" t="s">
        <v>1154</v>
      </c>
      <c r="Z59" s="565" t="s">
        <v>771</v>
      </c>
      <c r="AA59" s="561">
        <v>3500000</v>
      </c>
      <c r="AB59" s="567"/>
      <c r="AC59" s="568"/>
      <c r="AD59" s="287"/>
      <c r="AE59" s="287"/>
    </row>
    <row r="60" spans="1:31">
      <c r="A60" s="436" t="s">
        <v>572</v>
      </c>
      <c r="B60" s="326">
        <f>ROUND(MIN(B$95,29800000)*'New Hire'!C61,0)</f>
        <v>378000</v>
      </c>
      <c r="C60" s="326">
        <f>ROUND(MIN(C$95,29800000)*'New Hire'!D61,0)</f>
        <v>312120</v>
      </c>
      <c r="D60" s="326"/>
      <c r="E60" s="326">
        <f>ROUND(MIN(E$95,29800000)*'New Hire'!F61,0)</f>
        <v>435000</v>
      </c>
      <c r="F60" s="326">
        <f>ROUND(MIN(F$95,29800000)*'New Hire'!G61,0)</f>
        <v>0</v>
      </c>
      <c r="G60" s="326">
        <f>ROUND(MIN(G$95,29800000)*'New Hire'!H61,0)</f>
        <v>894000</v>
      </c>
      <c r="H60" s="326">
        <f>ROUND(MIN(H$95,29800000)*'New Hire'!I61,0)</f>
        <v>894000</v>
      </c>
      <c r="I60" s="326">
        <f>ROUND(MIN(I$95,29800000)*'New Hire'!J61,0)</f>
        <v>894000</v>
      </c>
      <c r="J60" s="326">
        <f>ROUND(MIN(J$95,29800000)*'New Hire'!K61,0)</f>
        <v>894000</v>
      </c>
      <c r="K60" s="326">
        <f>ROUND(MIN(K$95,29800000)*'New Hire'!L61,0)</f>
        <v>0</v>
      </c>
      <c r="L60" s="326">
        <f>ROUND(MIN(L$95,29800000)*'New Hire'!M61,0)</f>
        <v>450000</v>
      </c>
      <c r="M60" s="326">
        <f>ROUND(MIN(M$95,29800000)*'New Hire'!N61,0)</f>
        <v>0</v>
      </c>
      <c r="N60" s="326">
        <f>ROUND(MIN(N$95,29800000)*'New Hire'!O61,0)</f>
        <v>0</v>
      </c>
      <c r="O60" s="326">
        <f>ROUND(MIN(O$95,29800000)*'New Hire'!P61,0)</f>
        <v>0</v>
      </c>
      <c r="P60" s="339">
        <f>SUM(B60:O60)</f>
        <v>5151120</v>
      </c>
      <c r="Q60" s="335"/>
      <c r="R60" s="335"/>
      <c r="S60" s="335"/>
      <c r="T60" s="335"/>
      <c r="U60" s="335"/>
      <c r="V60" s="562" t="s">
        <v>2</v>
      </c>
      <c r="W60" s="563">
        <v>91999901</v>
      </c>
      <c r="X60" s="564" t="s">
        <v>770</v>
      </c>
      <c r="Y60" s="564" t="s">
        <v>1154</v>
      </c>
      <c r="Z60" s="565">
        <v>3210</v>
      </c>
      <c r="AA60" s="561">
        <v>4000000</v>
      </c>
      <c r="AB60" s="564"/>
      <c r="AC60" s="566"/>
      <c r="AD60" s="287"/>
      <c r="AE60" s="287"/>
    </row>
    <row r="61" spans="1:31">
      <c r="A61" s="436" t="s">
        <v>1071</v>
      </c>
      <c r="B61" s="326">
        <f>IF(B44+B58=0,0,ROUND(MIN(B95,29800000)*2%,0))</f>
        <v>252000</v>
      </c>
      <c r="C61" s="326">
        <f>IF(C44+C58=0,0,ROUND(MIN(C95,29800000)*2%,0))</f>
        <v>208080</v>
      </c>
      <c r="D61" s="326"/>
      <c r="E61" s="326">
        <f t="shared" ref="E61:O61" si="20">IF(E44+E58=0,0,ROUND(MIN(E95,29800000)*2%,0))</f>
        <v>290000</v>
      </c>
      <c r="F61" s="326">
        <f t="shared" si="20"/>
        <v>0</v>
      </c>
      <c r="G61" s="326">
        <f t="shared" si="20"/>
        <v>596000</v>
      </c>
      <c r="H61" s="326">
        <f t="shared" si="20"/>
        <v>596000</v>
      </c>
      <c r="I61" s="326">
        <f t="shared" si="20"/>
        <v>596000</v>
      </c>
      <c r="J61" s="326">
        <f t="shared" si="20"/>
        <v>596000</v>
      </c>
      <c r="K61" s="326">
        <f t="shared" si="20"/>
        <v>0</v>
      </c>
      <c r="L61" s="326">
        <f t="shared" si="20"/>
        <v>300000</v>
      </c>
      <c r="M61" s="326">
        <f t="shared" si="20"/>
        <v>0</v>
      </c>
      <c r="N61" s="326">
        <f t="shared" si="20"/>
        <v>0</v>
      </c>
      <c r="O61" s="326">
        <f t="shared" si="20"/>
        <v>0</v>
      </c>
      <c r="P61" s="339">
        <f>SUM(B61:O61)</f>
        <v>3434080</v>
      </c>
      <c r="Q61" s="373"/>
      <c r="R61" s="373"/>
      <c r="S61" s="373"/>
      <c r="T61" s="373"/>
      <c r="U61" s="373"/>
      <c r="V61" s="562" t="s">
        <v>2</v>
      </c>
      <c r="W61" s="563">
        <v>91999902</v>
      </c>
      <c r="X61" s="564" t="s">
        <v>770</v>
      </c>
      <c r="Y61" s="564" t="s">
        <v>1154</v>
      </c>
      <c r="Z61" s="565">
        <v>3210</v>
      </c>
      <c r="AA61" s="561">
        <v>4000000</v>
      </c>
      <c r="AB61" s="564"/>
      <c r="AC61" s="566"/>
      <c r="AD61" s="287"/>
      <c r="AE61" s="287"/>
    </row>
    <row r="62" spans="1:31">
      <c r="A62" s="436" t="s">
        <v>510</v>
      </c>
      <c r="B62" s="326">
        <f>IF(OR(B18="A",B18="B"),B90,ROUND(B90*B13,0))</f>
        <v>679452</v>
      </c>
      <c r="C62" s="326">
        <f>IF(OR(C18="A",C18="B"),C90,ROUND(C90*C13,0))</f>
        <v>679452</v>
      </c>
      <c r="D62" s="326"/>
      <c r="E62" s="326">
        <f>IF(OR(E18="A",E18="B"),E90,ROUND(E90*E13,0))</f>
        <v>679452</v>
      </c>
      <c r="F62" s="326">
        <f>IF(OR(F18="A",F18="B"),F90,ROUND(F90*F13,0))</f>
        <v>679452</v>
      </c>
      <c r="G62" s="326">
        <f>IF(OR(G18="A",G18="B"),G90,ROUND(G90*G13,0))</f>
        <v>0</v>
      </c>
      <c r="H62" s="326">
        <f>IF(OR(H18="A",H18="B"),H90,ROUND(H90*H13,0))</f>
        <v>339726</v>
      </c>
      <c r="I62" s="326"/>
      <c r="J62" s="326"/>
      <c r="K62" s="326"/>
      <c r="L62" s="326"/>
      <c r="M62" s="326"/>
      <c r="N62" s="326"/>
      <c r="O62" s="326"/>
      <c r="P62" s="339">
        <f>SUM(B62:O62)</f>
        <v>3057534</v>
      </c>
      <c r="Q62" s="373"/>
      <c r="R62" s="373"/>
      <c r="S62" s="373"/>
      <c r="T62" s="373"/>
      <c r="U62" s="373"/>
      <c r="V62" s="562" t="s">
        <v>2</v>
      </c>
      <c r="W62" s="563">
        <v>91999904</v>
      </c>
      <c r="X62" s="564" t="s">
        <v>769</v>
      </c>
      <c r="Y62" s="564" t="s">
        <v>1154</v>
      </c>
      <c r="Z62" s="565">
        <v>3210</v>
      </c>
      <c r="AA62" s="561">
        <v>4000000</v>
      </c>
      <c r="AB62" s="564"/>
      <c r="AC62" s="566"/>
    </row>
    <row r="63" spans="1:31">
      <c r="A63" s="405"/>
      <c r="B63" s="325"/>
      <c r="C63" s="326"/>
      <c r="D63" s="326"/>
      <c r="E63" s="334"/>
      <c r="F63" s="326"/>
      <c r="G63" s="326"/>
      <c r="H63" s="326"/>
      <c r="I63" s="326"/>
      <c r="J63" s="326"/>
      <c r="K63" s="334"/>
      <c r="L63" s="334"/>
      <c r="M63" s="334"/>
      <c r="N63" s="334"/>
      <c r="O63" s="334"/>
      <c r="P63" s="339"/>
      <c r="Q63" s="335"/>
      <c r="R63" s="335"/>
      <c r="S63" s="335"/>
      <c r="T63" s="335"/>
      <c r="U63" s="335"/>
      <c r="V63" s="562" t="s">
        <v>2</v>
      </c>
      <c r="W63" s="563">
        <v>91999905</v>
      </c>
      <c r="X63" s="564" t="s">
        <v>769</v>
      </c>
      <c r="Y63" s="564" t="s">
        <v>1154</v>
      </c>
      <c r="Z63" s="565">
        <v>3210</v>
      </c>
      <c r="AA63" s="561">
        <v>4000000</v>
      </c>
      <c r="AB63" s="564"/>
      <c r="AC63" s="566"/>
    </row>
    <row r="64" spans="1:31" ht="15.6">
      <c r="A64" s="404" t="s">
        <v>474</v>
      </c>
      <c r="B64" s="325"/>
      <c r="C64" s="326"/>
      <c r="D64" s="326"/>
      <c r="E64" s="334"/>
      <c r="F64" s="326"/>
      <c r="G64" s="326"/>
      <c r="H64" s="326"/>
      <c r="I64" s="326"/>
      <c r="J64" s="326"/>
      <c r="K64" s="334"/>
      <c r="L64" s="334"/>
      <c r="M64" s="334"/>
      <c r="N64" s="334"/>
      <c r="O64" s="334"/>
      <c r="P64" s="339"/>
      <c r="Q64" s="335"/>
      <c r="R64" s="335"/>
      <c r="S64" s="335"/>
      <c r="T64" s="335"/>
      <c r="U64" s="335"/>
      <c r="V64" s="562" t="s">
        <v>2</v>
      </c>
      <c r="W64" s="563">
        <v>91999907</v>
      </c>
      <c r="X64" s="564" t="s">
        <v>769</v>
      </c>
      <c r="Y64" s="564" t="s">
        <v>1154</v>
      </c>
      <c r="Z64" s="565">
        <v>3210</v>
      </c>
      <c r="AA64" s="561">
        <v>225</v>
      </c>
      <c r="AB64" s="564" t="s">
        <v>611</v>
      </c>
      <c r="AC64" s="566"/>
    </row>
    <row r="65" spans="1:31">
      <c r="A65" s="436" t="s">
        <v>475</v>
      </c>
      <c r="B65" s="326">
        <f>IF(AND(OR(B11="1",B11="P"),'New Hire'!C28="Local"),ROUND(B136*B88,0),0)+'UAT7-Jul'!B68</f>
        <v>3831417</v>
      </c>
      <c r="C65" s="326">
        <f>IF(AND(OR(C11="1",C11="P"),'New Hire'!D28="Local"),ROUND(C136*C88,0),0)+'UAT7-Jul'!C68</f>
        <v>3081035</v>
      </c>
      <c r="D65" s="326"/>
      <c r="E65" s="326">
        <f>IF(AND(OR(E11="1",E11="P"),'New Hire'!F28="Local"),ROUND(E136*E88,0),0)+'UAT7-Jul'!E68</f>
        <v>0</v>
      </c>
      <c r="F65" s="326">
        <f>IF(AND(OR(F11="1",F11="P"),'New Hire'!G28="Local"),ROUND(F136*F88,0),0)+'UAT7-Jul'!F68</f>
        <v>0</v>
      </c>
      <c r="G65" s="326">
        <f>IF(AND(OR(G11="1",G11="P"),'New Hire'!H28="Local"),ROUND(G136*G88,0),0)+'UAT7-Jul'!G68</f>
        <v>0</v>
      </c>
      <c r="H65" s="326">
        <f>IF(AND(OR(H11="1",H11="P"),'New Hire'!I28="Local"),ROUND(H136*H88,0),0)+'UAT7-Jul'!H68</f>
        <v>0</v>
      </c>
      <c r="I65" s="326">
        <f>IF(AND(OR(I11="1",I11="P"),'New Hire'!J28="Local"),ROUND(I136*I88,0),0)+'UAT7-Jul'!I68</f>
        <v>0</v>
      </c>
      <c r="J65" s="326">
        <f>IF(AND(OR(J11="1",J11="P"),'New Hire'!K28="Local"),ROUND(J136*J88,0),0)+'UAT7-Jul'!J68</f>
        <v>18448279</v>
      </c>
      <c r="K65" s="326">
        <f>IF(AND(OR(K11="1",K11="P"),'New Hire'!L28="Local"),ROUND(K136*K88,0),0)+'UAT7-Jul'!K68</f>
        <v>5831419</v>
      </c>
      <c r="L65" s="326">
        <f>IF(AND(OR(L11="1",L11="P"),'New Hire'!M28="Local"),ROUND(L136*L88,0),0)+'UAT7-Jul'!L68</f>
        <v>40450198</v>
      </c>
      <c r="M65" s="326">
        <f>IF(AND(OR(M11="1",M11="P"),'New Hire'!N28="Local"),ROUND(M136*M88,0),0)+'UAT7-Jul'!M68</f>
        <v>0</v>
      </c>
      <c r="N65" s="326">
        <f>IF(AND(OR(N11="1",N11="P"),'New Hire'!O28="Local"),ROUND(N136*N88,0),0)+'UAT7-Jul'!N68</f>
        <v>0</v>
      </c>
      <c r="O65" s="326">
        <f>IF(AND(OR(O11="1",O11="P"),'New Hire'!P28="Local"),ROUND(O136*O88,0),0)+'UAT7-Jul'!O68</f>
        <v>1706897</v>
      </c>
      <c r="P65" s="339">
        <f>SUM(B65:O65)</f>
        <v>73349245</v>
      </c>
      <c r="Q65" s="469"/>
      <c r="R65" s="469"/>
      <c r="S65" s="373"/>
      <c r="T65" s="373"/>
      <c r="U65" s="373"/>
      <c r="V65" s="562" t="s">
        <v>2</v>
      </c>
      <c r="W65" s="563">
        <v>91999908</v>
      </c>
      <c r="X65" s="564" t="s">
        <v>769</v>
      </c>
      <c r="Y65" s="564" t="s">
        <v>1154</v>
      </c>
      <c r="Z65" s="565">
        <v>3210</v>
      </c>
      <c r="AA65" s="561">
        <v>225</v>
      </c>
      <c r="AB65" s="564" t="s">
        <v>611</v>
      </c>
      <c r="AC65" s="566"/>
    </row>
    <row r="66" spans="1:31">
      <c r="A66" s="436" t="s">
        <v>482</v>
      </c>
      <c r="B66" s="584"/>
      <c r="C66" s="584">
        <f>'UAT7-Jul'!C69</f>
        <v>2.5</v>
      </c>
      <c r="D66" s="584"/>
      <c r="E66" s="584"/>
      <c r="F66" s="584"/>
      <c r="G66" s="584">
        <f>CEILING(ROUND(('UAT5-May'!G16+'UAT6-Jun'!G18+'UAT7-Jul'!G15+G14)/261,2),0.5)</f>
        <v>0.5</v>
      </c>
      <c r="H66" s="584">
        <f>CEILING(ROUND(('UAT1-Jan'!AB70+'UAT1-Jan'!H14+'UAT2-Feb'!H14+'UAT3-Mar'!H14+'UAT4-Apr'!H14+'UAT5-May'!H15+'UAT6-Jun'!H18+'UAT7-Jul'!H15+H14)/261,2),0.5)</f>
        <v>5</v>
      </c>
      <c r="I66" s="584">
        <f>CEILING(ROUND(('UAT1-Jan'!I14+'UAT2-Feb'!I14+'UAT3-Mar'!I14+'UAT4-Apr'!I14+'UAT5-May'!I15+'UAT6-Jun'!I18+'UAT7-Jul'!I15+I14)/261,2),0.5)</f>
        <v>1</v>
      </c>
      <c r="J66" s="584"/>
      <c r="K66" s="584"/>
      <c r="L66" s="584"/>
      <c r="M66" s="584"/>
      <c r="N66" s="584">
        <f>'UAT7-Jul'!N69</f>
        <v>1.5</v>
      </c>
      <c r="O66" s="584"/>
      <c r="P66" s="654">
        <f>SUM(B66:O66)</f>
        <v>10.5</v>
      </c>
      <c r="Q66" s="335"/>
      <c r="R66" s="335"/>
      <c r="S66" s="335"/>
      <c r="T66" s="335"/>
      <c r="U66" s="335"/>
      <c r="V66" s="562" t="s">
        <v>2</v>
      </c>
      <c r="W66" s="563">
        <v>91999909</v>
      </c>
      <c r="X66" s="564" t="s">
        <v>769</v>
      </c>
      <c r="Y66" s="564" t="s">
        <v>1154</v>
      </c>
      <c r="Z66" s="565">
        <v>3210</v>
      </c>
      <c r="AA66" s="561">
        <v>4000000</v>
      </c>
      <c r="AB66" s="564"/>
      <c r="AC66" s="566"/>
    </row>
    <row r="67" spans="1:31">
      <c r="A67" s="436" t="s">
        <v>581</v>
      </c>
      <c r="B67" s="326">
        <f>B97+'UAT7-Jul'!B70-'UAT2-Feb'!B104</f>
        <v>53530000</v>
      </c>
      <c r="C67" s="326">
        <f>C97+'UAT7-Jul'!C70-'UAT2-Feb'!C104</f>
        <v>43614000</v>
      </c>
      <c r="D67" s="326"/>
      <c r="E67" s="326">
        <f>E97+'UAT7-Jul'!E70-'UAT2-Feb'!E104</f>
        <v>65730000</v>
      </c>
      <c r="F67" s="326">
        <f>F97+'UAT7-Jul'!F70-'UAT2-Feb'!F104</f>
        <v>77384000</v>
      </c>
      <c r="G67" s="326">
        <f>G97+'UAT7-Jul'!G70-'UAT2-Feb'!G104</f>
        <v>297024000</v>
      </c>
      <c r="H67" s="326">
        <f>H97+'UAT7-Jul'!H70-'UAT2-Feb'!H104</f>
        <v>435673875</v>
      </c>
      <c r="I67" s="326">
        <f>I97+'UAT7-Jul'!I70-'UAT2-Feb'!I104</f>
        <v>389844000</v>
      </c>
      <c r="J67" s="326">
        <f>J97+'UAT7-Jul'!J70-'UAT2-Feb'!J104</f>
        <v>249738000</v>
      </c>
      <c r="K67" s="326">
        <f>K97+'UAT7-Jul'!K70-'UAT2-Feb'!K104</f>
        <v>76930000</v>
      </c>
      <c r="L67" s="326">
        <f>L97+'UAT7-Jul'!L70-'UAT2-Feb'!L104</f>
        <v>311230000</v>
      </c>
      <c r="M67" s="326">
        <f>M97+'UAT7-Jul'!M70-'UAT2-Feb'!M104</f>
        <v>60730000</v>
      </c>
      <c r="N67" s="326">
        <f>N97+'UAT7-Jul'!N70-'UAT2-Feb'!N104</f>
        <v>64800000</v>
      </c>
      <c r="O67" s="326">
        <f>O97+'UAT7-Jul'!O70-'UAT2-Feb'!O104</f>
        <v>20250000</v>
      </c>
      <c r="P67" s="339">
        <f>SUM(B67:O67)</f>
        <v>2146477875</v>
      </c>
      <c r="V67" s="562" t="s">
        <v>2</v>
      </c>
      <c r="W67" s="563">
        <v>91999910</v>
      </c>
      <c r="X67" s="564" t="s">
        <v>769</v>
      </c>
      <c r="Y67" s="564" t="s">
        <v>1154</v>
      </c>
      <c r="Z67" s="565">
        <v>3210</v>
      </c>
      <c r="AA67" s="561">
        <v>4000000</v>
      </c>
      <c r="AB67" s="567"/>
      <c r="AC67" s="568"/>
    </row>
    <row r="68" spans="1:31">
      <c r="A68" s="436" t="s">
        <v>1138</v>
      </c>
      <c r="B68" s="7">
        <v>8</v>
      </c>
      <c r="C68" s="7"/>
      <c r="D68" s="7"/>
      <c r="E68" s="7">
        <v>15</v>
      </c>
      <c r="F68" s="7"/>
      <c r="G68" s="7"/>
      <c r="H68" s="7"/>
      <c r="I68" s="7"/>
      <c r="J68" s="7">
        <v>8</v>
      </c>
      <c r="K68" s="7"/>
      <c r="L68" s="7"/>
      <c r="M68" s="7">
        <v>90</v>
      </c>
      <c r="N68" s="7">
        <v>10</v>
      </c>
      <c r="O68" s="7"/>
      <c r="P68" s="653">
        <f>SUM(B68:O68)</f>
        <v>131</v>
      </c>
      <c r="Q68" s="335"/>
      <c r="R68" s="470"/>
      <c r="S68" s="335"/>
      <c r="T68" s="335"/>
      <c r="U68" s="335"/>
      <c r="V68" s="562" t="s">
        <v>2</v>
      </c>
      <c r="W68" s="563">
        <v>91999911</v>
      </c>
      <c r="X68" s="564" t="s">
        <v>769</v>
      </c>
      <c r="Y68" s="564" t="s">
        <v>1154</v>
      </c>
      <c r="Z68" s="565">
        <v>3210</v>
      </c>
      <c r="AA68" s="561">
        <v>4000000</v>
      </c>
      <c r="AB68" s="567"/>
      <c r="AC68" s="568"/>
    </row>
    <row r="69" spans="1:31">
      <c r="A69" s="405"/>
      <c r="B69" s="325"/>
      <c r="C69" s="326"/>
      <c r="D69" s="326"/>
      <c r="E69" s="334"/>
      <c r="F69" s="326"/>
      <c r="G69" s="326"/>
      <c r="H69" s="326"/>
      <c r="I69" s="326"/>
      <c r="J69" s="326"/>
      <c r="K69" s="334"/>
      <c r="L69" s="334"/>
      <c r="M69" s="334"/>
      <c r="N69" s="334"/>
      <c r="O69" s="334"/>
      <c r="P69" s="339"/>
      <c r="Q69" s="335"/>
      <c r="R69" s="470"/>
      <c r="S69" s="335"/>
      <c r="T69" s="335"/>
      <c r="U69" s="335"/>
      <c r="V69" s="562" t="s">
        <v>2</v>
      </c>
      <c r="W69" s="563">
        <v>91999912</v>
      </c>
      <c r="X69" s="564" t="s">
        <v>769</v>
      </c>
      <c r="Y69" s="564" t="s">
        <v>1154</v>
      </c>
      <c r="Z69" s="565">
        <v>3210</v>
      </c>
      <c r="AA69" s="561">
        <v>4000000</v>
      </c>
      <c r="AB69" s="567"/>
      <c r="AC69" s="568"/>
    </row>
    <row r="70" spans="1:31" ht="15.6">
      <c r="A70" s="404" t="s">
        <v>835</v>
      </c>
      <c r="B70" s="468"/>
      <c r="C70" s="468"/>
      <c r="D70" s="468"/>
      <c r="E70" s="468"/>
      <c r="F70" s="468"/>
      <c r="G70" s="468"/>
      <c r="H70" s="468"/>
      <c r="I70" s="468"/>
      <c r="J70" s="559"/>
      <c r="K70" s="468"/>
      <c r="L70" s="468"/>
      <c r="M70" s="468"/>
      <c r="N70" s="468"/>
      <c r="O70" s="468"/>
      <c r="P70" s="339"/>
      <c r="Q70" s="335"/>
      <c r="R70" s="335"/>
      <c r="S70" s="335"/>
      <c r="T70" s="335"/>
      <c r="U70" s="335"/>
      <c r="V70" s="562" t="s">
        <v>2</v>
      </c>
      <c r="W70" s="563">
        <v>91999913</v>
      </c>
      <c r="X70" s="564" t="s">
        <v>769</v>
      </c>
      <c r="Y70" s="564" t="s">
        <v>1154</v>
      </c>
      <c r="Z70" s="565">
        <v>3210</v>
      </c>
      <c r="AA70" s="561">
        <v>4000000</v>
      </c>
      <c r="AB70" s="567"/>
      <c r="AC70" s="568"/>
    </row>
    <row r="71" spans="1:31">
      <c r="A71" s="462" t="s">
        <v>1120</v>
      </c>
      <c r="B71" s="334">
        <f t="shared" ref="B71:O71" si="21">ROUND(B82*(B110+B111),0)</f>
        <v>0</v>
      </c>
      <c r="C71" s="334">
        <f t="shared" si="21"/>
        <v>0</v>
      </c>
      <c r="D71" s="334">
        <f t="shared" si="21"/>
        <v>0</v>
      </c>
      <c r="E71" s="334">
        <f t="shared" si="21"/>
        <v>0</v>
      </c>
      <c r="F71" s="334">
        <f t="shared" si="21"/>
        <v>0</v>
      </c>
      <c r="G71" s="334">
        <f t="shared" si="21"/>
        <v>0</v>
      </c>
      <c r="H71" s="334">
        <f t="shared" si="21"/>
        <v>0</v>
      </c>
      <c r="I71" s="334">
        <f t="shared" si="21"/>
        <v>0</v>
      </c>
      <c r="J71" s="334">
        <f t="shared" si="21"/>
        <v>0</v>
      </c>
      <c r="K71" s="334">
        <f t="shared" si="21"/>
        <v>0</v>
      </c>
      <c r="L71" s="334">
        <f t="shared" si="21"/>
        <v>0</v>
      </c>
      <c r="M71" s="334">
        <f t="shared" si="21"/>
        <v>0</v>
      </c>
      <c r="N71" s="334">
        <f t="shared" si="21"/>
        <v>0</v>
      </c>
      <c r="O71" s="334">
        <f t="shared" si="21"/>
        <v>0</v>
      </c>
      <c r="P71" s="339">
        <f>SUM(B71:O71)</f>
        <v>0</v>
      </c>
      <c r="Q71" s="335"/>
      <c r="R71" s="335"/>
      <c r="S71" s="335"/>
      <c r="T71" s="335"/>
      <c r="U71" s="335"/>
      <c r="V71" s="562" t="s">
        <v>2</v>
      </c>
      <c r="W71" s="563">
        <v>91999901</v>
      </c>
      <c r="X71" s="564" t="s">
        <v>770</v>
      </c>
      <c r="Y71" s="564" t="s">
        <v>1154</v>
      </c>
      <c r="Z71" s="565">
        <v>3501</v>
      </c>
      <c r="AA71" s="561">
        <v>2500000</v>
      </c>
      <c r="AB71" s="564"/>
      <c r="AC71" s="566"/>
    </row>
    <row r="72" spans="1:31">
      <c r="A72" s="462" t="s">
        <v>832</v>
      </c>
      <c r="B72" s="334">
        <f t="shared" ref="B72:O72" si="22">ROUND(B82*B108,0)</f>
        <v>11630720</v>
      </c>
      <c r="C72" s="334">
        <f t="shared" si="22"/>
        <v>9603648</v>
      </c>
      <c r="D72" s="334">
        <f t="shared" si="22"/>
        <v>0</v>
      </c>
      <c r="E72" s="334">
        <f t="shared" si="22"/>
        <v>13384640</v>
      </c>
      <c r="F72" s="334">
        <f t="shared" si="22"/>
        <v>14400000</v>
      </c>
      <c r="G72" s="334">
        <f t="shared" si="22"/>
        <v>43756776</v>
      </c>
      <c r="H72" s="334">
        <f t="shared" si="22"/>
        <v>75505520</v>
      </c>
      <c r="I72" s="334">
        <f t="shared" si="22"/>
        <v>0</v>
      </c>
      <c r="J72" s="334">
        <f t="shared" si="22"/>
        <v>38353819</v>
      </c>
      <c r="K72" s="334">
        <f t="shared" si="22"/>
        <v>15230720</v>
      </c>
      <c r="L72" s="334">
        <f t="shared" si="22"/>
        <v>13846080</v>
      </c>
      <c r="M72" s="334">
        <f t="shared" si="22"/>
        <v>12923040</v>
      </c>
      <c r="N72" s="334">
        <f t="shared" si="22"/>
        <v>13246080</v>
      </c>
      <c r="O72" s="334">
        <f t="shared" si="22"/>
        <v>2966506</v>
      </c>
      <c r="P72" s="339">
        <f>SUM(B72:O72)</f>
        <v>264847549</v>
      </c>
      <c r="Q72" s="335"/>
      <c r="R72" s="335"/>
      <c r="S72" s="335"/>
      <c r="T72" s="335"/>
      <c r="U72" s="335"/>
      <c r="V72" s="562" t="s">
        <v>2</v>
      </c>
      <c r="W72" s="563">
        <v>91999902</v>
      </c>
      <c r="X72" s="564" t="s">
        <v>769</v>
      </c>
      <c r="Y72" s="564" t="s">
        <v>1154</v>
      </c>
      <c r="Z72" s="565">
        <v>3501</v>
      </c>
      <c r="AA72" s="561">
        <v>2500000</v>
      </c>
      <c r="AB72" s="564"/>
      <c r="AC72" s="566"/>
    </row>
    <row r="73" spans="1:31">
      <c r="A73" s="462" t="s">
        <v>833</v>
      </c>
      <c r="B73" s="334">
        <f>ROUND(ROUND(ROUND(ROUND((B136+B127+B128)*B13,0)*12*B14*AB37,0)/261,0)/10,0)+'UAT7-Jul'!B76</f>
        <v>2624394</v>
      </c>
      <c r="C73" s="334"/>
      <c r="D73" s="334"/>
      <c r="E73" s="334"/>
      <c r="F73" s="334"/>
      <c r="G73" s="334"/>
      <c r="H73" s="334">
        <f>ROUND(ROUND(ROUND(ROUND((H136+H127+H128)*H13,0)*12*H14*AB38,0)/261,0)/10,0)+'UAT7-Jul'!H76</f>
        <v>15429458</v>
      </c>
      <c r="I73" s="334"/>
      <c r="J73" s="444"/>
      <c r="K73" s="334"/>
      <c r="L73" s="334"/>
      <c r="M73" s="334"/>
      <c r="N73" s="334"/>
      <c r="O73" s="334"/>
      <c r="P73" s="339">
        <f>SUM(B73:O73)</f>
        <v>18053852</v>
      </c>
      <c r="Q73" s="335"/>
      <c r="R73" s="335"/>
      <c r="S73" s="335"/>
      <c r="T73" s="335"/>
      <c r="U73" s="335"/>
      <c r="V73" s="562" t="s">
        <v>2</v>
      </c>
      <c r="W73" s="563">
        <v>91999904</v>
      </c>
      <c r="X73" s="564" t="s">
        <v>769</v>
      </c>
      <c r="Y73" s="564" t="s">
        <v>1154</v>
      </c>
      <c r="Z73" s="565">
        <v>3501</v>
      </c>
      <c r="AA73" s="561">
        <v>2500000</v>
      </c>
      <c r="AB73" s="564"/>
      <c r="AC73" s="566"/>
    </row>
    <row r="74" spans="1:31">
      <c r="A74" s="462" t="s">
        <v>834</v>
      </c>
      <c r="B74" s="334"/>
      <c r="C74" s="334">
        <f>ROUND(C66*C136*C13*50%,0)</f>
        <v>6975000</v>
      </c>
      <c r="D74" s="334"/>
      <c r="E74" s="334"/>
      <c r="F74" s="334"/>
      <c r="G74" s="334"/>
      <c r="H74" s="334">
        <f>ROUND(H66*H136*H13*50%,0)</f>
        <v>142130625</v>
      </c>
      <c r="I74" s="334"/>
      <c r="J74" s="334"/>
      <c r="K74" s="334"/>
      <c r="L74" s="334"/>
      <c r="M74" s="334"/>
      <c r="N74" s="334">
        <f>ROUND(N66*N136*N13*50%,0)</f>
        <v>6000000</v>
      </c>
      <c r="O74" s="334"/>
      <c r="P74" s="339">
        <f>SUM(B74:O74)</f>
        <v>155105625</v>
      </c>
      <c r="Q74" s="335"/>
      <c r="R74" s="335"/>
      <c r="S74" s="335"/>
      <c r="T74" s="335"/>
      <c r="U74" s="335"/>
      <c r="V74" s="562" t="s">
        <v>2</v>
      </c>
      <c r="W74" s="563">
        <v>91999905</v>
      </c>
      <c r="X74" s="564" t="s">
        <v>769</v>
      </c>
      <c r="Y74" s="564" t="s">
        <v>1154</v>
      </c>
      <c r="Z74" s="565">
        <v>3501</v>
      </c>
      <c r="AA74" s="561">
        <v>2500000</v>
      </c>
      <c r="AB74" s="567"/>
      <c r="AC74" s="568"/>
    </row>
    <row r="75" spans="1:31">
      <c r="A75" s="462"/>
      <c r="B75" s="334"/>
      <c r="C75" s="334"/>
      <c r="D75" s="334"/>
      <c r="E75" s="334"/>
      <c r="F75" s="334"/>
      <c r="G75" s="334"/>
      <c r="H75" s="334"/>
      <c r="I75" s="334"/>
      <c r="J75" s="334"/>
      <c r="K75" s="334"/>
      <c r="L75" s="334"/>
      <c r="M75" s="334"/>
      <c r="N75" s="334"/>
      <c r="O75" s="334"/>
      <c r="P75" s="339"/>
      <c r="Q75" s="335"/>
      <c r="R75" s="335"/>
      <c r="S75" s="335"/>
      <c r="T75" s="335"/>
      <c r="U75" s="335"/>
      <c r="V75" s="562" t="s">
        <v>2</v>
      </c>
      <c r="W75" s="563">
        <v>91999909</v>
      </c>
      <c r="X75" s="564" t="s">
        <v>769</v>
      </c>
      <c r="Y75" s="564" t="s">
        <v>1154</v>
      </c>
      <c r="Z75" s="565">
        <v>3501</v>
      </c>
      <c r="AA75" s="561">
        <v>2500000</v>
      </c>
      <c r="AB75" s="567"/>
      <c r="AC75" s="568"/>
    </row>
    <row r="76" spans="1:31" ht="15.6">
      <c r="A76" s="404" t="s">
        <v>691</v>
      </c>
      <c r="B76" s="325"/>
      <c r="C76" s="326"/>
      <c r="D76" s="326"/>
      <c r="E76" s="334"/>
      <c r="F76" s="326"/>
      <c r="G76" s="326"/>
      <c r="H76" s="326"/>
      <c r="I76" s="326"/>
      <c r="J76" s="326"/>
      <c r="K76" s="334"/>
      <c r="L76" s="334"/>
      <c r="M76" s="334"/>
      <c r="N76" s="334"/>
      <c r="O76" s="395"/>
      <c r="P76" s="340"/>
      <c r="Q76" s="341"/>
      <c r="R76" s="470"/>
      <c r="S76" s="335"/>
      <c r="T76" s="335"/>
      <c r="U76" s="335"/>
      <c r="V76" s="562" t="s">
        <v>2</v>
      </c>
      <c r="W76" s="563">
        <v>91999910</v>
      </c>
      <c r="X76" s="564" t="s">
        <v>769</v>
      </c>
      <c r="Y76" s="564" t="s">
        <v>1154</v>
      </c>
      <c r="Z76" s="565">
        <v>3501</v>
      </c>
      <c r="AA76" s="561">
        <v>2500000</v>
      </c>
      <c r="AB76" s="567"/>
      <c r="AC76" s="568"/>
    </row>
    <row r="77" spans="1:31">
      <c r="A77" s="483" t="s">
        <v>1378</v>
      </c>
      <c r="B77" s="484"/>
      <c r="C77" s="484"/>
      <c r="D77" s="484"/>
      <c r="E77" s="484"/>
      <c r="F77" s="484"/>
      <c r="G77" s="484"/>
      <c r="H77" s="484"/>
      <c r="I77" s="484"/>
      <c r="J77" s="484"/>
      <c r="K77" s="484"/>
      <c r="L77" s="484"/>
      <c r="M77" s="484">
        <f>ROUND('UAT7-Jul'!M87*SUM(AC93:AC95)*100%,0)</f>
        <v>1211550</v>
      </c>
      <c r="N77" s="484"/>
      <c r="O77" s="485"/>
      <c r="P77" s="486">
        <f>SUM(B77:O77)</f>
        <v>1211550</v>
      </c>
      <c r="Q77" s="501"/>
      <c r="R77" s="501"/>
      <c r="S77" s="502"/>
      <c r="T77" s="503"/>
      <c r="U77" s="503"/>
      <c r="V77" s="562" t="s">
        <v>2</v>
      </c>
      <c r="W77" s="563">
        <v>91999911</v>
      </c>
      <c r="X77" s="564" t="s">
        <v>769</v>
      </c>
      <c r="Y77" s="564" t="s">
        <v>1154</v>
      </c>
      <c r="Z77" s="565">
        <v>3501</v>
      </c>
      <c r="AA77" s="561">
        <v>2500000</v>
      </c>
      <c r="AB77" s="567"/>
      <c r="AC77" s="568"/>
    </row>
    <row r="78" spans="1:31">
      <c r="A78" s="509" t="s">
        <v>1354</v>
      </c>
      <c r="B78" s="484"/>
      <c r="C78" s="484"/>
      <c r="D78" s="484"/>
      <c r="E78" s="484"/>
      <c r="F78" s="484"/>
      <c r="G78" s="484"/>
      <c r="H78" s="484"/>
      <c r="I78" s="484"/>
      <c r="J78" s="484"/>
      <c r="K78" s="484"/>
      <c r="L78" s="484"/>
      <c r="M78" s="484">
        <f>ROUND('UAT7-Jul'!M87*SUM(AC93:AC95)*100%,0)</f>
        <v>1211550</v>
      </c>
      <c r="N78" s="484"/>
      <c r="O78" s="485"/>
      <c r="P78" s="486">
        <f>SUM(B78:O78)</f>
        <v>1211550</v>
      </c>
      <c r="Q78" s="501"/>
      <c r="R78" s="501"/>
      <c r="S78" s="504"/>
      <c r="T78" s="504"/>
      <c r="U78" s="504"/>
      <c r="V78" s="562" t="s">
        <v>2</v>
      </c>
      <c r="W78" s="563">
        <v>91999912</v>
      </c>
      <c r="X78" s="564" t="s">
        <v>769</v>
      </c>
      <c r="Y78" s="564" t="s">
        <v>1154</v>
      </c>
      <c r="Z78" s="565">
        <v>3501</v>
      </c>
      <c r="AA78" s="561">
        <v>2500000</v>
      </c>
      <c r="AB78" s="564"/>
      <c r="AC78" s="566"/>
    </row>
    <row r="79" spans="1:31">
      <c r="A79" s="405"/>
      <c r="B79" s="325"/>
      <c r="C79" s="326"/>
      <c r="D79" s="326"/>
      <c r="E79" s="334"/>
      <c r="F79" s="326"/>
      <c r="G79" s="326"/>
      <c r="H79" s="326"/>
      <c r="I79" s="326"/>
      <c r="J79" s="326"/>
      <c r="K79" s="334"/>
      <c r="L79" s="334"/>
      <c r="M79" s="334"/>
      <c r="N79" s="334"/>
      <c r="O79" s="395"/>
      <c r="P79" s="340"/>
      <c r="Q79" s="341"/>
      <c r="R79" s="341"/>
      <c r="S79" s="341"/>
      <c r="T79" s="341"/>
      <c r="U79" s="341"/>
      <c r="V79" s="562" t="s">
        <v>2</v>
      </c>
      <c r="W79" s="563">
        <v>91999913</v>
      </c>
      <c r="X79" s="564" t="s">
        <v>770</v>
      </c>
      <c r="Y79" s="564" t="s">
        <v>1154</v>
      </c>
      <c r="Z79" s="565">
        <v>3501</v>
      </c>
      <c r="AA79" s="561">
        <v>2500000</v>
      </c>
      <c r="AB79" s="564"/>
      <c r="AC79" s="566"/>
    </row>
    <row r="80" spans="1:31" s="5" customFormat="1" ht="15.6">
      <c r="A80" s="404" t="s">
        <v>483</v>
      </c>
      <c r="B80" s="325"/>
      <c r="C80" s="326"/>
      <c r="D80" s="326"/>
      <c r="E80" s="334"/>
      <c r="F80" s="326"/>
      <c r="G80" s="326"/>
      <c r="H80" s="326"/>
      <c r="I80" s="326"/>
      <c r="J80" s="326"/>
      <c r="K80" s="334"/>
      <c r="L80" s="334"/>
      <c r="M80" s="334"/>
      <c r="N80" s="334"/>
      <c r="O80" s="395"/>
      <c r="P80" s="340"/>
      <c r="Q80" s="341"/>
      <c r="R80" s="341"/>
      <c r="S80" s="341"/>
      <c r="T80" s="341"/>
      <c r="U80" s="341"/>
      <c r="V80" s="562" t="s">
        <v>2</v>
      </c>
      <c r="W80" s="563">
        <v>91999901</v>
      </c>
      <c r="X80" s="564" t="s">
        <v>769</v>
      </c>
      <c r="Y80" s="564" t="s">
        <v>1154</v>
      </c>
      <c r="Z80" s="565">
        <v>3525</v>
      </c>
      <c r="AA80" s="561">
        <v>730000</v>
      </c>
      <c r="AB80" s="564"/>
      <c r="AC80" s="566"/>
      <c r="AD80"/>
      <c r="AE80"/>
    </row>
    <row r="81" spans="1:31" s="5" customFormat="1">
      <c r="A81" s="436" t="s">
        <v>488</v>
      </c>
      <c r="B81" s="326">
        <f>ROUND(B135*12/52/40,0)</f>
        <v>40385</v>
      </c>
      <c r="C81" s="326">
        <f>ROUND(C135*12/52/40,0)</f>
        <v>35769</v>
      </c>
      <c r="D81" s="326"/>
      <c r="E81" s="326">
        <f t="shared" ref="E81:O81" si="23">ROUND(E135*12/52/40,0)</f>
        <v>63462</v>
      </c>
      <c r="F81" s="326">
        <f t="shared" si="23"/>
        <v>92308</v>
      </c>
      <c r="G81" s="326">
        <f t="shared" si="23"/>
        <v>428400</v>
      </c>
      <c r="H81" s="326">
        <f t="shared" si="23"/>
        <v>696150</v>
      </c>
      <c r="I81" s="326">
        <f t="shared" si="23"/>
        <v>522113</v>
      </c>
      <c r="J81" s="326">
        <f t="shared" si="23"/>
        <v>317308</v>
      </c>
      <c r="K81" s="326">
        <f t="shared" si="23"/>
        <v>57692</v>
      </c>
      <c r="L81" s="326">
        <f t="shared" si="23"/>
        <v>66346</v>
      </c>
      <c r="M81" s="326">
        <f t="shared" si="23"/>
        <v>40385</v>
      </c>
      <c r="N81" s="326">
        <f t="shared" si="23"/>
        <v>46154</v>
      </c>
      <c r="O81" s="326">
        <f t="shared" si="23"/>
        <v>34615</v>
      </c>
      <c r="P81" s="339">
        <f t="shared" ref="P81:P91" si="24">SUM(B81:O81)</f>
        <v>2441087</v>
      </c>
      <c r="Q81" s="341"/>
      <c r="R81" s="341"/>
      <c r="S81" s="341"/>
      <c r="T81" s="341"/>
      <c r="U81" s="341"/>
      <c r="V81" s="562" t="s">
        <v>2</v>
      </c>
      <c r="W81" s="563">
        <v>91999902</v>
      </c>
      <c r="X81" s="564" t="s">
        <v>769</v>
      </c>
      <c r="Y81" s="564" t="s">
        <v>1154</v>
      </c>
      <c r="Z81" s="565">
        <v>3525</v>
      </c>
      <c r="AA81" s="561">
        <v>730000</v>
      </c>
      <c r="AB81" s="564"/>
      <c r="AC81" s="566"/>
      <c r="AD81"/>
      <c r="AE81"/>
    </row>
    <row r="82" spans="1:31" s="5" customFormat="1">
      <c r="A82" s="436" t="s">
        <v>499</v>
      </c>
      <c r="B82" s="326">
        <f>ROUND(SUM(B135,B123,B124,B126)*12/52/40,0)</f>
        <v>72692</v>
      </c>
      <c r="C82" s="326">
        <f>ROUND(SUM(C135,C123,C124,C126)*12/52/40,0)</f>
        <v>66692</v>
      </c>
      <c r="D82" s="326"/>
      <c r="E82" s="326">
        <f t="shared" ref="E82:O82" si="25">ROUND(SUM(E135,E123,E124,E126)*12/52/40,0)</f>
        <v>83654</v>
      </c>
      <c r="F82" s="326">
        <f t="shared" si="25"/>
        <v>112500</v>
      </c>
      <c r="G82" s="326">
        <f t="shared" si="25"/>
        <v>428400</v>
      </c>
      <c r="H82" s="326">
        <f t="shared" si="25"/>
        <v>943819</v>
      </c>
      <c r="I82" s="326">
        <f t="shared" si="25"/>
        <v>548888</v>
      </c>
      <c r="J82" s="326">
        <f t="shared" si="25"/>
        <v>432692</v>
      </c>
      <c r="K82" s="326">
        <f t="shared" si="25"/>
        <v>95192</v>
      </c>
      <c r="L82" s="326">
        <f t="shared" si="25"/>
        <v>86538</v>
      </c>
      <c r="M82" s="326">
        <f t="shared" si="25"/>
        <v>80769</v>
      </c>
      <c r="N82" s="326">
        <f t="shared" si="25"/>
        <v>82788</v>
      </c>
      <c r="O82" s="326">
        <f t="shared" si="25"/>
        <v>34615</v>
      </c>
      <c r="P82" s="339">
        <f t="shared" si="24"/>
        <v>3069239</v>
      </c>
      <c r="Q82" s="342"/>
      <c r="R82" s="341"/>
      <c r="S82" s="341"/>
      <c r="T82" s="341"/>
      <c r="U82" s="341"/>
      <c r="V82" s="562" t="s">
        <v>2</v>
      </c>
      <c r="W82" s="563">
        <v>91999904</v>
      </c>
      <c r="X82" s="564" t="s">
        <v>769</v>
      </c>
      <c r="Y82" s="564" t="s">
        <v>1154</v>
      </c>
      <c r="Z82" s="565">
        <v>3525</v>
      </c>
      <c r="AA82" s="561">
        <v>730000</v>
      </c>
      <c r="AB82" s="567"/>
      <c r="AC82" s="568"/>
      <c r="AD82"/>
      <c r="AE82"/>
    </row>
    <row r="83" spans="1:31" s="5" customFormat="1">
      <c r="A83" s="436" t="s">
        <v>500</v>
      </c>
      <c r="B83" s="326">
        <f>ROUND((B121-ROUND(B133/B13,0)-ROUND(B134/B13,0))/B15/8,0)</f>
        <v>39773</v>
      </c>
      <c r="C83" s="326">
        <f t="shared" ref="C83:O83" si="26">ROUND((C121-ROUND(C133/C13,0)-ROUND(C134/C13,0))/C15/8,0)</f>
        <v>35227</v>
      </c>
      <c r="D83" s="326"/>
      <c r="E83" s="326">
        <f t="shared" si="26"/>
        <v>62500</v>
      </c>
      <c r="F83" s="326">
        <f t="shared" si="26"/>
        <v>90909</v>
      </c>
      <c r="G83" s="326">
        <f t="shared" si="26"/>
        <v>421909</v>
      </c>
      <c r="H83" s="326">
        <f t="shared" si="26"/>
        <v>646048</v>
      </c>
      <c r="I83" s="326">
        <f t="shared" si="26"/>
        <v>501017</v>
      </c>
      <c r="J83" s="326">
        <f t="shared" si="26"/>
        <v>312500</v>
      </c>
      <c r="K83" s="326">
        <f t="shared" si="26"/>
        <v>56818</v>
      </c>
      <c r="L83" s="326">
        <f t="shared" si="26"/>
        <v>65341</v>
      </c>
      <c r="M83" s="326">
        <f t="shared" si="26"/>
        <v>39773</v>
      </c>
      <c r="N83" s="326">
        <f t="shared" si="26"/>
        <v>45455</v>
      </c>
      <c r="O83" s="326">
        <f t="shared" si="26"/>
        <v>34091</v>
      </c>
      <c r="P83" s="339">
        <f t="shared" si="24"/>
        <v>2351361</v>
      </c>
      <c r="Q83" s="341"/>
      <c r="R83" s="341"/>
      <c r="S83" s="341"/>
      <c r="T83" s="341"/>
      <c r="U83" s="341"/>
      <c r="V83" s="562" t="s">
        <v>2</v>
      </c>
      <c r="W83" s="563">
        <v>91999905</v>
      </c>
      <c r="X83" s="564" t="s">
        <v>769</v>
      </c>
      <c r="Y83" s="564" t="s">
        <v>1154</v>
      </c>
      <c r="Z83" s="565">
        <v>3525</v>
      </c>
      <c r="AA83" s="561">
        <v>730000</v>
      </c>
      <c r="AB83" s="567"/>
      <c r="AC83" s="568"/>
      <c r="AD83"/>
      <c r="AE83"/>
    </row>
    <row r="84" spans="1:31" s="5" customFormat="1">
      <c r="A84" s="436" t="s">
        <v>621</v>
      </c>
      <c r="B84" s="326">
        <f>ROUND(SUM(B123:B129)/B15/8,0)</f>
        <v>89943</v>
      </c>
      <c r="C84" s="326">
        <f t="shared" ref="C84:O84" si="27">ROUND(SUM(C123:C129)/C15/8,0)</f>
        <v>88580</v>
      </c>
      <c r="D84" s="326"/>
      <c r="E84" s="326">
        <f t="shared" si="27"/>
        <v>78011</v>
      </c>
      <c r="F84" s="326">
        <f t="shared" si="27"/>
        <v>78011</v>
      </c>
      <c r="G84" s="326">
        <f t="shared" si="27"/>
        <v>0</v>
      </c>
      <c r="H84" s="326">
        <f t="shared" si="27"/>
        <v>273582</v>
      </c>
      <c r="I84" s="326">
        <f t="shared" si="27"/>
        <v>56035</v>
      </c>
      <c r="J84" s="326">
        <f t="shared" si="27"/>
        <v>171761</v>
      </c>
      <c r="K84" s="326">
        <f t="shared" si="27"/>
        <v>95057</v>
      </c>
      <c r="L84" s="326">
        <f t="shared" si="27"/>
        <v>78011</v>
      </c>
      <c r="M84" s="326">
        <f t="shared" si="27"/>
        <v>97898</v>
      </c>
      <c r="N84" s="326">
        <f t="shared" si="27"/>
        <v>94205</v>
      </c>
      <c r="O84" s="326">
        <f t="shared" si="27"/>
        <v>0</v>
      </c>
      <c r="P84" s="339">
        <f t="shared" si="24"/>
        <v>1201094</v>
      </c>
      <c r="Q84" s="341"/>
      <c r="R84" s="341"/>
      <c r="S84" s="341"/>
      <c r="T84" s="341"/>
      <c r="U84" s="341"/>
      <c r="V84" s="562" t="s">
        <v>2</v>
      </c>
      <c r="W84" s="563">
        <v>91999909</v>
      </c>
      <c r="X84" s="564" t="s">
        <v>769</v>
      </c>
      <c r="Y84" s="564" t="s">
        <v>1154</v>
      </c>
      <c r="Z84" s="565">
        <v>3525</v>
      </c>
      <c r="AA84" s="561">
        <v>730000</v>
      </c>
      <c r="AB84" s="567"/>
      <c r="AC84" s="568"/>
      <c r="AD84"/>
      <c r="AE84"/>
    </row>
    <row r="85" spans="1:31" s="5" customFormat="1">
      <c r="A85" s="436" t="s">
        <v>1410</v>
      </c>
      <c r="B85" s="326">
        <f>ROUND(B121*12/52/40,0)</f>
        <v>40385</v>
      </c>
      <c r="C85" s="326">
        <f t="shared" ref="C85:O85" si="28">ROUND(C121*12/52/40,0)</f>
        <v>35769</v>
      </c>
      <c r="D85" s="326"/>
      <c r="E85" s="326">
        <f t="shared" si="28"/>
        <v>63462</v>
      </c>
      <c r="F85" s="326">
        <f t="shared" si="28"/>
        <v>92308</v>
      </c>
      <c r="G85" s="326">
        <f t="shared" si="28"/>
        <v>468563</v>
      </c>
      <c r="H85" s="326">
        <f t="shared" si="28"/>
        <v>736313</v>
      </c>
      <c r="I85" s="326">
        <f t="shared" si="28"/>
        <v>562275</v>
      </c>
      <c r="J85" s="326">
        <f t="shared" si="28"/>
        <v>317308</v>
      </c>
      <c r="K85" s="326">
        <f t="shared" si="28"/>
        <v>57692</v>
      </c>
      <c r="L85" s="326">
        <f t="shared" si="28"/>
        <v>66346</v>
      </c>
      <c r="M85" s="326">
        <f t="shared" si="28"/>
        <v>40385</v>
      </c>
      <c r="N85" s="326">
        <f t="shared" si="28"/>
        <v>46154</v>
      </c>
      <c r="O85" s="326">
        <f t="shared" si="28"/>
        <v>34615</v>
      </c>
      <c r="P85" s="339">
        <f t="shared" si="24"/>
        <v>2561575</v>
      </c>
      <c r="Q85" s="341"/>
      <c r="R85" s="341"/>
      <c r="S85" s="341"/>
      <c r="T85" s="341"/>
      <c r="U85" s="341"/>
      <c r="V85" s="562" t="s">
        <v>2</v>
      </c>
      <c r="W85" s="563">
        <v>91999910</v>
      </c>
      <c r="X85" s="564" t="s">
        <v>769</v>
      </c>
      <c r="Y85" s="564" t="s">
        <v>1154</v>
      </c>
      <c r="Z85" s="565">
        <v>3525</v>
      </c>
      <c r="AA85" s="561">
        <v>730000</v>
      </c>
      <c r="AB85" s="564"/>
      <c r="AC85" s="566"/>
      <c r="AD85"/>
      <c r="AE85"/>
    </row>
    <row r="86" spans="1:31" s="5" customFormat="1">
      <c r="A86" s="514" t="s">
        <v>1465</v>
      </c>
      <c r="B86" s="362">
        <f>ROUND((B127+B128)/B15/8,0)</f>
        <v>18352</v>
      </c>
      <c r="C86" s="362">
        <f t="shared" ref="C86:O86" si="29">ROUND((C127+C128)/C15/8,0)</f>
        <v>18352</v>
      </c>
      <c r="D86" s="362"/>
      <c r="E86" s="362">
        <f t="shared" si="29"/>
        <v>18352</v>
      </c>
      <c r="F86" s="362">
        <f t="shared" si="29"/>
        <v>18352</v>
      </c>
      <c r="G86" s="362">
        <f t="shared" si="29"/>
        <v>0</v>
      </c>
      <c r="H86" s="362">
        <f t="shared" si="29"/>
        <v>0</v>
      </c>
      <c r="I86" s="362">
        <f t="shared" si="29"/>
        <v>0</v>
      </c>
      <c r="J86" s="362">
        <f t="shared" si="29"/>
        <v>18352</v>
      </c>
      <c r="K86" s="362">
        <f t="shared" si="29"/>
        <v>18352</v>
      </c>
      <c r="L86" s="362">
        <f t="shared" si="29"/>
        <v>18352</v>
      </c>
      <c r="M86" s="362">
        <f t="shared" si="29"/>
        <v>18352</v>
      </c>
      <c r="N86" s="362">
        <f t="shared" si="29"/>
        <v>18352</v>
      </c>
      <c r="O86" s="362">
        <f t="shared" si="29"/>
        <v>0</v>
      </c>
      <c r="P86" s="589">
        <f t="shared" si="24"/>
        <v>165168</v>
      </c>
      <c r="Q86" s="341"/>
      <c r="R86" s="342"/>
      <c r="S86" s="342"/>
      <c r="T86" s="342"/>
      <c r="U86" s="342"/>
      <c r="V86" s="562" t="s">
        <v>2</v>
      </c>
      <c r="W86" s="563">
        <v>91999911</v>
      </c>
      <c r="X86" s="564" t="s">
        <v>769</v>
      </c>
      <c r="Y86" s="564" t="s">
        <v>1154</v>
      </c>
      <c r="Z86" s="565">
        <v>3525</v>
      </c>
      <c r="AA86" s="561">
        <v>730000</v>
      </c>
      <c r="AB86" s="564"/>
      <c r="AC86" s="566"/>
      <c r="AD86"/>
      <c r="AE86"/>
    </row>
    <row r="87" spans="1:31" s="5" customFormat="1">
      <c r="A87" s="436" t="s">
        <v>501</v>
      </c>
      <c r="B87" s="670">
        <f>ROUND(B14/B15*B13,8)</f>
        <v>1</v>
      </c>
      <c r="C87" s="670">
        <f>ROUND(C14/C15*C13,8)</f>
        <v>0.9</v>
      </c>
      <c r="D87" s="670"/>
      <c r="E87" s="670">
        <f t="shared" ref="E87:O87" si="30">ROUND(E14/E15*E13,8)</f>
        <v>1</v>
      </c>
      <c r="F87" s="670">
        <f t="shared" si="30"/>
        <v>0.8</v>
      </c>
      <c r="G87" s="670">
        <f t="shared" si="30"/>
        <v>1</v>
      </c>
      <c r="H87" s="670">
        <f t="shared" si="30"/>
        <v>0.5</v>
      </c>
      <c r="I87" s="670">
        <f t="shared" si="30"/>
        <v>0.75</v>
      </c>
      <c r="J87" s="670">
        <f t="shared" si="30"/>
        <v>0.6</v>
      </c>
      <c r="K87" s="670">
        <f t="shared" si="30"/>
        <v>1</v>
      </c>
      <c r="L87" s="670">
        <f t="shared" si="30"/>
        <v>1</v>
      </c>
      <c r="M87" s="670">
        <f t="shared" si="30"/>
        <v>1</v>
      </c>
      <c r="N87" s="670">
        <f t="shared" si="30"/>
        <v>1</v>
      </c>
      <c r="O87" s="670">
        <f t="shared" si="30"/>
        <v>0.75</v>
      </c>
      <c r="P87" s="653"/>
      <c r="Q87" s="341"/>
      <c r="R87" s="341"/>
      <c r="S87" s="341"/>
      <c r="T87" s="341"/>
      <c r="U87" s="341"/>
      <c r="V87" s="562" t="s">
        <v>2</v>
      </c>
      <c r="W87" s="563">
        <v>91999912</v>
      </c>
      <c r="X87" s="564" t="s">
        <v>769</v>
      </c>
      <c r="Y87" s="564" t="s">
        <v>1154</v>
      </c>
      <c r="Z87" s="565">
        <v>3525</v>
      </c>
      <c r="AA87" s="561">
        <v>730000</v>
      </c>
      <c r="AB87" s="564"/>
      <c r="AC87" s="566"/>
      <c r="AD87"/>
      <c r="AE87"/>
    </row>
    <row r="88" spans="1:31" s="5" customFormat="1">
      <c r="A88" s="436" t="s">
        <v>502</v>
      </c>
      <c r="B88" s="670">
        <f>ROUND((B14-B130)/261*B13,8)</f>
        <v>8.4291190000000002E-2</v>
      </c>
      <c r="C88" s="670">
        <f>ROUND((C14-C130)/261*C13,8)</f>
        <v>7.5862070000000004E-2</v>
      </c>
      <c r="D88" s="670"/>
      <c r="E88" s="670">
        <f t="shared" ref="E88:O88" si="31">ROUND((E14-E130)/261*E13,8)</f>
        <v>8.4291190000000002E-2</v>
      </c>
      <c r="F88" s="670">
        <f t="shared" si="31"/>
        <v>6.7432950000000005E-2</v>
      </c>
      <c r="G88" s="670">
        <f t="shared" si="31"/>
        <v>8.4291190000000002E-2</v>
      </c>
      <c r="H88" s="670">
        <f t="shared" si="31"/>
        <v>4.2145589999999997E-2</v>
      </c>
      <c r="I88" s="670">
        <f t="shared" si="31"/>
        <v>6.3218389999999999E-2</v>
      </c>
      <c r="J88" s="670">
        <f t="shared" si="31"/>
        <v>5.0574710000000002E-2</v>
      </c>
      <c r="K88" s="670">
        <f t="shared" si="31"/>
        <v>8.4291190000000002E-2</v>
      </c>
      <c r="L88" s="670">
        <f t="shared" si="31"/>
        <v>8.4291190000000002E-2</v>
      </c>
      <c r="M88" s="670">
        <f t="shared" si="31"/>
        <v>8.4291190000000002E-2</v>
      </c>
      <c r="N88" s="670">
        <f t="shared" si="31"/>
        <v>8.4291190000000002E-2</v>
      </c>
      <c r="O88" s="670">
        <f t="shared" si="31"/>
        <v>6.3218389999999999E-2</v>
      </c>
      <c r="P88" s="653"/>
      <c r="Q88" s="341"/>
      <c r="R88" s="341"/>
      <c r="S88" s="341"/>
      <c r="T88" s="341"/>
      <c r="U88" s="341"/>
      <c r="V88" s="562" t="s">
        <v>2</v>
      </c>
      <c r="W88" s="563">
        <v>91999913</v>
      </c>
      <c r="X88" s="564" t="s">
        <v>769</v>
      </c>
      <c r="Y88" s="564" t="s">
        <v>1154</v>
      </c>
      <c r="Z88" s="565">
        <v>3525</v>
      </c>
      <c r="AA88" s="561">
        <v>730000</v>
      </c>
      <c r="AB88" s="564"/>
      <c r="AC88" s="566"/>
      <c r="AD88"/>
      <c r="AE88"/>
    </row>
    <row r="89" spans="1:31" s="5" customFormat="1">
      <c r="A89" s="436" t="s">
        <v>503</v>
      </c>
      <c r="B89" s="670">
        <f>ROUND(B132/B15*7,0)</f>
        <v>0</v>
      </c>
      <c r="C89" s="670">
        <f>ROUND(C132/C15*7,0)</f>
        <v>0</v>
      </c>
      <c r="D89" s="670"/>
      <c r="E89" s="670">
        <f t="shared" ref="E89:O89" si="32">ROUND(E132/E15*7,0)</f>
        <v>0</v>
      </c>
      <c r="F89" s="670">
        <f t="shared" si="32"/>
        <v>0</v>
      </c>
      <c r="G89" s="670">
        <f t="shared" si="32"/>
        <v>0</v>
      </c>
      <c r="H89" s="670">
        <f t="shared" si="32"/>
        <v>0</v>
      </c>
      <c r="I89" s="670">
        <f t="shared" si="32"/>
        <v>0</v>
      </c>
      <c r="J89" s="670">
        <f t="shared" si="32"/>
        <v>0</v>
      </c>
      <c r="K89" s="670">
        <f t="shared" si="32"/>
        <v>0</v>
      </c>
      <c r="L89" s="670">
        <f t="shared" si="32"/>
        <v>0</v>
      </c>
      <c r="M89" s="670">
        <f t="shared" si="32"/>
        <v>0</v>
      </c>
      <c r="N89" s="670">
        <f t="shared" si="32"/>
        <v>0</v>
      </c>
      <c r="O89" s="670">
        <f t="shared" si="32"/>
        <v>0</v>
      </c>
      <c r="P89" s="653"/>
      <c r="Q89" s="341"/>
      <c r="R89" s="341"/>
      <c r="S89" s="341"/>
      <c r="T89" s="341"/>
      <c r="U89" s="341"/>
      <c r="V89" s="32"/>
      <c r="W89" s="44"/>
      <c r="X89" s="13"/>
      <c r="Y89" s="13"/>
      <c r="Z89" s="13"/>
      <c r="AA89" s="356"/>
      <c r="AB89" s="13"/>
      <c r="AC89" s="18"/>
      <c r="AD89"/>
      <c r="AE89"/>
    </row>
    <row r="90" spans="1:31" s="5" customFormat="1">
      <c r="A90" s="442" t="s">
        <v>492</v>
      </c>
      <c r="B90" s="326">
        <f>ROUND(AA25*B16/365,0)</f>
        <v>679452</v>
      </c>
      <c r="C90" s="326">
        <f>ROUND(AA26*C16/365,0)</f>
        <v>679452</v>
      </c>
      <c r="E90" s="326">
        <f>ROUND(AA27*E16/365,0)</f>
        <v>679452</v>
      </c>
      <c r="F90" s="326">
        <f>ROUND(AA28*F16/365,0)</f>
        <v>679452</v>
      </c>
      <c r="G90" s="326"/>
      <c r="H90" s="326">
        <f>ROUND(AA29*G16/365,0)</f>
        <v>679452</v>
      </c>
      <c r="I90" s="326"/>
      <c r="J90" s="326"/>
      <c r="K90" s="334"/>
      <c r="L90" s="334"/>
      <c r="M90" s="334"/>
      <c r="N90" s="334"/>
      <c r="O90" s="334"/>
      <c r="P90" s="339">
        <f t="shared" si="24"/>
        <v>3397260</v>
      </c>
      <c r="Q90" s="341"/>
      <c r="R90" s="341"/>
      <c r="S90" s="341"/>
      <c r="T90" s="341"/>
      <c r="U90" s="341"/>
      <c r="V90" s="32"/>
      <c r="W90" s="44"/>
      <c r="X90" s="13"/>
      <c r="Y90" s="13"/>
      <c r="Z90" s="13"/>
      <c r="AA90" s="356"/>
      <c r="AB90" s="13"/>
      <c r="AC90" s="18"/>
      <c r="AD90"/>
      <c r="AE90"/>
    </row>
    <row r="91" spans="1:31" s="5" customFormat="1">
      <c r="A91" s="436" t="s">
        <v>534</v>
      </c>
      <c r="B91" s="326"/>
      <c r="C91" s="326"/>
      <c r="E91" s="326"/>
      <c r="F91" s="326"/>
      <c r="G91" s="326"/>
      <c r="H91" s="326">
        <f>ROUND(AA30*G16/365,0)</f>
        <v>594521</v>
      </c>
      <c r="I91" s="326"/>
      <c r="J91" s="326"/>
      <c r="K91" s="326"/>
      <c r="L91" s="326"/>
      <c r="M91" s="326"/>
      <c r="N91" s="326"/>
      <c r="O91" s="394"/>
      <c r="P91" s="340">
        <f t="shared" si="24"/>
        <v>594521</v>
      </c>
      <c r="Q91" s="341"/>
      <c r="R91" s="341"/>
      <c r="S91" s="341"/>
      <c r="T91" s="341"/>
      <c r="U91" s="341"/>
      <c r="V91" s="42"/>
      <c r="W91" s="43"/>
      <c r="X91" s="13"/>
      <c r="Y91" s="13"/>
      <c r="Z91" s="61"/>
      <c r="AA91" s="356"/>
      <c r="AB91" s="13"/>
      <c r="AC91" s="18"/>
      <c r="AD91"/>
      <c r="AE91"/>
    </row>
    <row r="92" spans="1:31" s="5" customFormat="1">
      <c r="A92" s="405"/>
      <c r="B92" s="325"/>
      <c r="C92" s="326"/>
      <c r="D92" s="326"/>
      <c r="E92" s="334"/>
      <c r="F92" s="326"/>
      <c r="G92" s="326"/>
      <c r="H92" s="326"/>
      <c r="I92" s="326"/>
      <c r="J92" s="326"/>
      <c r="K92" s="334"/>
      <c r="L92" s="334"/>
      <c r="M92" s="334"/>
      <c r="N92" s="334"/>
      <c r="O92" s="395"/>
      <c r="P92" s="340"/>
      <c r="Q92" s="341"/>
      <c r="R92" s="341"/>
      <c r="S92" s="341"/>
      <c r="T92" s="341"/>
      <c r="U92" s="341"/>
      <c r="V92" s="24" t="s">
        <v>57</v>
      </c>
      <c r="W92" s="37" t="s">
        <v>67</v>
      </c>
      <c r="X92" s="37" t="s">
        <v>69</v>
      </c>
      <c r="Y92" s="37" t="s">
        <v>70</v>
      </c>
      <c r="Z92" s="62" t="s">
        <v>424</v>
      </c>
      <c r="AA92" s="357" t="s">
        <v>425</v>
      </c>
      <c r="AB92" s="37" t="s">
        <v>56</v>
      </c>
      <c r="AC92" s="38"/>
      <c r="AD92"/>
      <c r="AE92"/>
    </row>
    <row r="93" spans="1:31" s="5" customFormat="1">
      <c r="A93" s="405" t="s">
        <v>576</v>
      </c>
      <c r="B93" s="325">
        <f>SUM(B24:B36)</f>
        <v>22830000</v>
      </c>
      <c r="C93" s="326">
        <f>SUM(C24:C36)</f>
        <v>19611000</v>
      </c>
      <c r="D93" s="326"/>
      <c r="E93" s="326">
        <f t="shared" ref="E93:O93" si="33">SUM(E24:E36)</f>
        <v>24730000</v>
      </c>
      <c r="F93" s="326">
        <f t="shared" si="33"/>
        <v>23784000</v>
      </c>
      <c r="G93" s="326">
        <f t="shared" si="33"/>
        <v>74256000</v>
      </c>
      <c r="H93" s="326">
        <f t="shared" si="33"/>
        <v>80927438</v>
      </c>
      <c r="I93" s="326">
        <f t="shared" si="33"/>
        <v>73530844</v>
      </c>
      <c r="J93" s="326">
        <f t="shared" si="33"/>
        <v>51138000</v>
      </c>
      <c r="K93" s="326">
        <f t="shared" si="33"/>
        <v>26730000</v>
      </c>
      <c r="L93" s="326">
        <f t="shared" si="33"/>
        <v>25230000</v>
      </c>
      <c r="M93" s="326">
        <f t="shared" si="33"/>
        <v>26653100</v>
      </c>
      <c r="N93" s="326">
        <f t="shared" si="33"/>
        <v>24580000</v>
      </c>
      <c r="O93" s="326">
        <f t="shared" si="33"/>
        <v>4500000</v>
      </c>
      <c r="P93" s="339">
        <f t="shared" ref="P93:P105" si="34">SUM(B93:O93)</f>
        <v>478500382</v>
      </c>
      <c r="Q93" s="341"/>
      <c r="R93" s="341"/>
      <c r="S93" s="341"/>
      <c r="T93" s="341"/>
      <c r="U93" s="341"/>
      <c r="V93" s="496" t="s">
        <v>422</v>
      </c>
      <c r="W93" s="500">
        <v>91999912</v>
      </c>
      <c r="X93" s="435" t="s">
        <v>751</v>
      </c>
      <c r="Y93" s="435" t="s">
        <v>751</v>
      </c>
      <c r="Z93" s="497">
        <v>0.33333333333333331</v>
      </c>
      <c r="AA93" s="497">
        <v>0.75</v>
      </c>
      <c r="AB93" s="498">
        <v>9000</v>
      </c>
      <c r="AC93" s="499">
        <v>10</v>
      </c>
      <c r="AD93"/>
      <c r="AE93"/>
    </row>
    <row r="94" spans="1:31" s="5" customFormat="1">
      <c r="A94" s="436" t="s">
        <v>484</v>
      </c>
      <c r="B94" s="326">
        <f>SUM(B24:B27,B29:B31,B38)</f>
        <v>19801270</v>
      </c>
      <c r="C94" s="326">
        <f>SUM(C24:C27,C29:C31,C38)</f>
        <v>17066287</v>
      </c>
      <c r="D94" s="326"/>
      <c r="E94" s="326">
        <f t="shared" ref="E94:O94" si="35">SUM(E24:E27,E29:E31,E38)</f>
        <v>21801906</v>
      </c>
      <c r="F94" s="326">
        <f t="shared" si="35"/>
        <v>21200000</v>
      </c>
      <c r="G94" s="326">
        <f t="shared" si="35"/>
        <v>74256000</v>
      </c>
      <c r="H94" s="326">
        <f t="shared" si="35"/>
        <v>85788603</v>
      </c>
      <c r="I94" s="326">
        <f t="shared" si="35"/>
        <v>73530844</v>
      </c>
      <c r="J94" s="326">
        <f t="shared" si="35"/>
        <v>49200000</v>
      </c>
      <c r="K94" s="326">
        <f t="shared" si="35"/>
        <v>23500000</v>
      </c>
      <c r="L94" s="326">
        <f t="shared" si="35"/>
        <v>22000000</v>
      </c>
      <c r="M94" s="326">
        <f t="shared" si="35"/>
        <v>22211550</v>
      </c>
      <c r="N94" s="326">
        <f t="shared" si="35"/>
        <v>21350000</v>
      </c>
      <c r="O94" s="326">
        <f t="shared" si="35"/>
        <v>4500000</v>
      </c>
      <c r="P94" s="339">
        <f t="shared" si="34"/>
        <v>456206460</v>
      </c>
      <c r="Q94" s="341"/>
      <c r="R94" s="341"/>
      <c r="S94" s="341"/>
      <c r="T94" s="341"/>
      <c r="U94" s="341"/>
      <c r="V94" s="496" t="s">
        <v>422</v>
      </c>
      <c r="W94" s="500">
        <v>91999912</v>
      </c>
      <c r="X94" s="435" t="s">
        <v>752</v>
      </c>
      <c r="Y94" s="435" t="s">
        <v>752</v>
      </c>
      <c r="Z94" s="497">
        <v>0.33333333333333331</v>
      </c>
      <c r="AA94" s="497">
        <v>0.75</v>
      </c>
      <c r="AB94" s="498">
        <v>9000</v>
      </c>
      <c r="AC94" s="499">
        <v>10</v>
      </c>
      <c r="AD94"/>
      <c r="AE94"/>
    </row>
    <row r="95" spans="1:31" s="5" customFormat="1">
      <c r="A95" s="436" t="s">
        <v>578</v>
      </c>
      <c r="B95" s="326">
        <f>MIN(IF(B14&gt;B15/2,IF(OR(B18="A",B18="B"),SUM(B121,B123,B124,B126)*B13,B137),0),29800000)</f>
        <v>12600000</v>
      </c>
      <c r="C95" s="326">
        <f>MIN(IF(C14&gt;C15/2,IF(OR(C18="A",C18="B"),SUM(C121,C123,C124,C126)*C13,C137),0),29800000)</f>
        <v>10404000</v>
      </c>
      <c r="D95" s="326"/>
      <c r="E95" s="326">
        <f t="shared" ref="E95:O95" si="36">MIN(IF(E14&gt;E15/2,IF(OR(E18="A",E18="B"),SUM(E121,E123,E124,E126)*E13,E137),0),29800000)</f>
        <v>14500000</v>
      </c>
      <c r="F95" s="326">
        <f t="shared" si="36"/>
        <v>15600000</v>
      </c>
      <c r="G95" s="326">
        <f t="shared" si="36"/>
        <v>29800000</v>
      </c>
      <c r="H95" s="326">
        <f t="shared" si="36"/>
        <v>29800000</v>
      </c>
      <c r="I95" s="326">
        <f t="shared" si="36"/>
        <v>29800000</v>
      </c>
      <c r="J95" s="326">
        <f t="shared" si="36"/>
        <v>29800000</v>
      </c>
      <c r="K95" s="326">
        <f t="shared" si="36"/>
        <v>16500000</v>
      </c>
      <c r="L95" s="326">
        <f t="shared" si="36"/>
        <v>15000000</v>
      </c>
      <c r="M95" s="326">
        <f t="shared" si="36"/>
        <v>14000000</v>
      </c>
      <c r="N95" s="326">
        <f t="shared" si="36"/>
        <v>14350000</v>
      </c>
      <c r="O95" s="326">
        <f t="shared" si="36"/>
        <v>4500000</v>
      </c>
      <c r="P95" s="339">
        <f t="shared" si="34"/>
        <v>236654000</v>
      </c>
      <c r="Q95" s="341"/>
      <c r="R95" s="341"/>
      <c r="S95" s="341"/>
      <c r="T95" s="341"/>
      <c r="U95" s="341"/>
      <c r="V95" s="496" t="s">
        <v>422</v>
      </c>
      <c r="W95" s="500">
        <v>91999912</v>
      </c>
      <c r="X95" s="435" t="s">
        <v>753</v>
      </c>
      <c r="Y95" s="435" t="s">
        <v>753</v>
      </c>
      <c r="Z95" s="497">
        <v>0.33333333333333331</v>
      </c>
      <c r="AA95" s="497">
        <v>0.75</v>
      </c>
      <c r="AB95" s="498">
        <v>9000</v>
      </c>
      <c r="AC95" s="499">
        <v>10</v>
      </c>
      <c r="AD95"/>
      <c r="AE95"/>
    </row>
    <row r="96" spans="1:31" s="5" customFormat="1">
      <c r="A96" s="405" t="s">
        <v>1200</v>
      </c>
      <c r="B96" s="326">
        <f>IF(B14&gt;B15/2,IF(OR(B18="A",B18="B"),SUM(B121,B123,B124,B126)*B13,B138),0)</f>
        <v>12600000</v>
      </c>
      <c r="C96" s="326">
        <f>IF(C14&gt;C15/2,IF(OR(C18="A",C18="B"),SUM(C121,C123,C124,C126)*C13,C138),0)</f>
        <v>10404000</v>
      </c>
      <c r="D96" s="326"/>
      <c r="E96" s="326">
        <f t="shared" ref="E96:O96" si="37">IF(E14&gt;E15/2,IF(OR(E18="A",E18="B"),SUM(E121,E123,E124,E126)*E13,E138),0)</f>
        <v>14500000</v>
      </c>
      <c r="F96" s="326">
        <f t="shared" si="37"/>
        <v>15600000</v>
      </c>
      <c r="G96" s="326">
        <f t="shared" si="37"/>
        <v>75200000</v>
      </c>
      <c r="H96" s="326">
        <f t="shared" si="37"/>
        <v>79312500</v>
      </c>
      <c r="I96" s="326">
        <f t="shared" si="37"/>
        <v>70500000</v>
      </c>
      <c r="J96" s="326">
        <f t="shared" si="37"/>
        <v>45000000</v>
      </c>
      <c r="K96" s="326">
        <f t="shared" si="37"/>
        <v>16500000</v>
      </c>
      <c r="L96" s="326">
        <f t="shared" si="37"/>
        <v>15000000</v>
      </c>
      <c r="M96" s="326">
        <f t="shared" si="37"/>
        <v>14000000</v>
      </c>
      <c r="N96" s="326">
        <f t="shared" si="37"/>
        <v>14350000</v>
      </c>
      <c r="O96" s="326">
        <f t="shared" si="37"/>
        <v>4500000</v>
      </c>
      <c r="P96" s="339">
        <f t="shared" si="34"/>
        <v>387466500</v>
      </c>
      <c r="Q96" s="341"/>
      <c r="R96" s="341"/>
      <c r="S96" s="341"/>
      <c r="T96" s="341"/>
      <c r="U96" s="341"/>
      <c r="V96" s="496"/>
      <c r="W96" s="500"/>
      <c r="X96" s="435"/>
      <c r="Y96" s="435"/>
      <c r="Z96" s="497"/>
      <c r="AA96" s="497"/>
      <c r="AB96" s="498"/>
      <c r="AC96" s="499"/>
      <c r="AD96"/>
      <c r="AE96"/>
    </row>
    <row r="97" spans="1:31" s="5" customFormat="1">
      <c r="A97" s="405" t="s">
        <v>580</v>
      </c>
      <c r="B97" s="326">
        <f>IF(OR(B18="A",B18="B"),ROUND(SUM(B136,B123,B124,B127,B128,B126)*B13,0),ROUND(SUM(B136,B123,B124,B126)*B13,0))</f>
        <v>15830000</v>
      </c>
      <c r="C97" s="326">
        <f>IF(OR(C18="A",C18="B"),ROUND(SUM(C136,C123,C124,C127,C128,C126)*C13,0),ROUND(SUM(C136,C123,C124,C126)*C13,0))</f>
        <v>13311000</v>
      </c>
      <c r="D97" s="326"/>
      <c r="E97" s="326">
        <f t="shared" ref="E97:O97" si="38">IF(OR(E18="A",E18="B"),ROUND(SUM(E136,E123,E124,E127,E128,E126)*E13,0),ROUND(SUM(E136,E123,E124,E126)*E13,0))</f>
        <v>17730000</v>
      </c>
      <c r="F97" s="326">
        <f t="shared" si="38"/>
        <v>18184000</v>
      </c>
      <c r="G97" s="326">
        <f t="shared" si="38"/>
        <v>74256000</v>
      </c>
      <c r="H97" s="326">
        <f t="shared" si="38"/>
        <v>78316875</v>
      </c>
      <c r="I97" s="326">
        <f t="shared" si="38"/>
        <v>69615000</v>
      </c>
      <c r="J97" s="326">
        <f t="shared" si="38"/>
        <v>46938000</v>
      </c>
      <c r="K97" s="326">
        <f t="shared" si="38"/>
        <v>19730000</v>
      </c>
      <c r="L97" s="326">
        <f t="shared" si="38"/>
        <v>18230000</v>
      </c>
      <c r="M97" s="326">
        <f t="shared" si="38"/>
        <v>17230000</v>
      </c>
      <c r="N97" s="326">
        <f t="shared" si="38"/>
        <v>17580000</v>
      </c>
      <c r="O97" s="326">
        <f t="shared" si="38"/>
        <v>4500000</v>
      </c>
      <c r="P97" s="339">
        <f t="shared" si="34"/>
        <v>411450875</v>
      </c>
      <c r="Q97" s="374"/>
      <c r="R97" s="341"/>
      <c r="S97" s="341"/>
      <c r="T97" s="341"/>
      <c r="U97" s="341"/>
      <c r="V97" s="33"/>
      <c r="W97" s="45"/>
      <c r="X97" s="13"/>
      <c r="Y97" s="13"/>
      <c r="Z97" s="13"/>
      <c r="AA97" s="13"/>
      <c r="AB97" s="13"/>
      <c r="AC97" s="18"/>
      <c r="AD97"/>
      <c r="AE97"/>
    </row>
    <row r="98" spans="1:31" s="5" customFormat="1">
      <c r="A98" s="405" t="s">
        <v>481</v>
      </c>
      <c r="B98" s="326">
        <f>ROUND('UAT7-Jul'!B70/6,0)</f>
        <v>8000000</v>
      </c>
      <c r="C98" s="326">
        <f>ROUND('UAT7-Jul'!C70/6,0)</f>
        <v>6607500</v>
      </c>
      <c r="D98" s="326"/>
      <c r="E98" s="326">
        <f>ROUND('UAT7-Jul'!E70/6,0)</f>
        <v>9800000</v>
      </c>
      <c r="F98" s="326">
        <f>ROUND('UAT7-Jul'!F70/6,0)</f>
        <v>11973333</v>
      </c>
      <c r="G98" s="326">
        <f>ROUND('UAT7-Jul'!G70/6,0)</f>
        <v>37128000</v>
      </c>
      <c r="H98" s="326">
        <f>ROUND('UAT7-Jul'!H70/6,0)</f>
        <v>71645438</v>
      </c>
      <c r="I98" s="326">
        <f>ROUND('UAT7-Jul'!I70/6,0)</f>
        <v>64785459</v>
      </c>
      <c r="J98" s="326">
        <f>ROUND('UAT7-Jul'!J70/6,0)</f>
        <v>40300000</v>
      </c>
      <c r="K98" s="326">
        <f>ROUND('UAT7-Jul'!K70/6,0)</f>
        <v>11388333</v>
      </c>
      <c r="L98" s="326">
        <f>ROUND('UAT7-Jul'!L70/6,0)</f>
        <v>63833333</v>
      </c>
      <c r="M98" s="326">
        <f>ROUND('UAT7-Jul'!M70/6,0)</f>
        <v>8500000</v>
      </c>
      <c r="N98" s="326">
        <f>ROUND('UAT7-Jul'!N70/6,0)</f>
        <v>9370000</v>
      </c>
      <c r="O98" s="326">
        <f>ROUND('UAT7-Jul'!O70/6,0)</f>
        <v>2625000</v>
      </c>
      <c r="P98" s="339">
        <f t="shared" si="34"/>
        <v>345956396</v>
      </c>
      <c r="Q98" s="341"/>
      <c r="R98" s="341"/>
      <c r="S98" s="341"/>
      <c r="T98" s="341"/>
      <c r="U98" s="341"/>
      <c r="V98" s="33"/>
      <c r="W98" s="45"/>
      <c r="X98" s="13"/>
      <c r="Y98" s="13"/>
      <c r="Z98" s="13"/>
      <c r="AA98" s="13"/>
      <c r="AB98" s="13"/>
      <c r="AC98" s="18"/>
      <c r="AD98"/>
      <c r="AE98"/>
    </row>
    <row r="99" spans="1:31" s="5" customFormat="1">
      <c r="A99" s="436" t="s">
        <v>600</v>
      </c>
      <c r="B99" s="326">
        <f>SUM(B44:B46)</f>
        <v>1323000</v>
      </c>
      <c r="C99" s="326">
        <f>SUM(C44:C46)</f>
        <v>1092420</v>
      </c>
      <c r="D99" s="326"/>
      <c r="E99" s="326">
        <f t="shared" ref="E99:O99" si="39">SUM(E44:E46)</f>
        <v>1522500</v>
      </c>
      <c r="F99" s="326">
        <f t="shared" si="39"/>
        <v>0</v>
      </c>
      <c r="G99" s="326">
        <f t="shared" si="39"/>
        <v>447000</v>
      </c>
      <c r="H99" s="326">
        <f t="shared" si="39"/>
        <v>447000</v>
      </c>
      <c r="I99" s="326">
        <f t="shared" si="39"/>
        <v>447000</v>
      </c>
      <c r="J99" s="326">
        <f t="shared" si="39"/>
        <v>3281000</v>
      </c>
      <c r="K99" s="326">
        <f t="shared" si="39"/>
        <v>0</v>
      </c>
      <c r="L99" s="326">
        <f t="shared" si="39"/>
        <v>1575000</v>
      </c>
      <c r="M99" s="326">
        <f t="shared" si="39"/>
        <v>0</v>
      </c>
      <c r="N99" s="326">
        <f t="shared" si="39"/>
        <v>0</v>
      </c>
      <c r="O99" s="326">
        <f t="shared" si="39"/>
        <v>0</v>
      </c>
      <c r="P99" s="339">
        <f t="shared" si="34"/>
        <v>10134920</v>
      </c>
      <c r="Q99" s="341"/>
      <c r="R99" s="341"/>
      <c r="S99" s="341"/>
      <c r="T99" s="341"/>
      <c r="U99" s="341"/>
      <c r="V99" s="33"/>
      <c r="W99" s="45"/>
      <c r="X99" s="13"/>
      <c r="Y99" s="13"/>
      <c r="Z99" s="13"/>
      <c r="AA99" s="13"/>
      <c r="AB99" s="13"/>
      <c r="AC99" s="18"/>
      <c r="AD99"/>
      <c r="AE99"/>
    </row>
    <row r="100" spans="1:31" s="5" customFormat="1">
      <c r="A100" s="436" t="s">
        <v>577</v>
      </c>
      <c r="B100" s="326">
        <f>IF(OR(B18="A",B18="C"),B94-B99,B94)</f>
        <v>18478270</v>
      </c>
      <c r="C100" s="326">
        <f>IF(OR(C18="A",C18="C"),C94-C99,C94)</f>
        <v>15973867</v>
      </c>
      <c r="D100" s="326"/>
      <c r="E100" s="326">
        <f t="shared" ref="E100:O100" si="40">IF(OR(E18="A",E18="C"),E94-E99,E94)</f>
        <v>21801906</v>
      </c>
      <c r="F100" s="326">
        <f t="shared" si="40"/>
        <v>21200000</v>
      </c>
      <c r="G100" s="326">
        <f t="shared" si="40"/>
        <v>73809000</v>
      </c>
      <c r="H100" s="326">
        <f t="shared" si="40"/>
        <v>85788603</v>
      </c>
      <c r="I100" s="326">
        <f t="shared" si="40"/>
        <v>73530844</v>
      </c>
      <c r="J100" s="326">
        <f t="shared" si="40"/>
        <v>45919000</v>
      </c>
      <c r="K100" s="326">
        <f t="shared" si="40"/>
        <v>23500000</v>
      </c>
      <c r="L100" s="326">
        <f t="shared" si="40"/>
        <v>20425000</v>
      </c>
      <c r="M100" s="326">
        <f t="shared" si="40"/>
        <v>22211550</v>
      </c>
      <c r="N100" s="326">
        <f t="shared" si="40"/>
        <v>21350000</v>
      </c>
      <c r="O100" s="326">
        <f t="shared" si="40"/>
        <v>4500000</v>
      </c>
      <c r="P100" s="339">
        <f t="shared" si="34"/>
        <v>448488040</v>
      </c>
      <c r="Q100" s="341"/>
      <c r="R100" s="341"/>
      <c r="S100" s="341"/>
      <c r="T100" s="341"/>
      <c r="U100" s="341"/>
      <c r="V100" s="32"/>
      <c r="W100" s="44"/>
      <c r="X100" s="13"/>
      <c r="Y100" s="13"/>
      <c r="Z100" s="13"/>
      <c r="AA100" s="13"/>
      <c r="AB100" s="13"/>
      <c r="AC100" s="18"/>
      <c r="AD100"/>
      <c r="AE100"/>
    </row>
    <row r="101" spans="1:31" s="5" customFormat="1">
      <c r="A101" s="436" t="s">
        <v>849</v>
      </c>
      <c r="B101" s="326">
        <f>MAX(B100-B21-B20,0)</f>
        <v>5878270</v>
      </c>
      <c r="C101" s="326">
        <f>MAX(C100-C21-C20,0)</f>
        <v>0</v>
      </c>
      <c r="D101" s="326"/>
      <c r="E101" s="326">
        <f t="shared" ref="E101:O101" si="41">MAX(E100-E21-E20,0)</f>
        <v>21801906</v>
      </c>
      <c r="F101" s="326">
        <f t="shared" si="41"/>
        <v>21200000</v>
      </c>
      <c r="G101" s="326">
        <f t="shared" si="41"/>
        <v>64809000</v>
      </c>
      <c r="H101" s="326">
        <f t="shared" si="41"/>
        <v>85788603</v>
      </c>
      <c r="I101" s="326">
        <f t="shared" si="41"/>
        <v>73530844</v>
      </c>
      <c r="J101" s="326">
        <f t="shared" si="41"/>
        <v>36919000</v>
      </c>
      <c r="K101" s="326">
        <f t="shared" si="41"/>
        <v>14500000</v>
      </c>
      <c r="L101" s="326">
        <f t="shared" si="41"/>
        <v>11425000</v>
      </c>
      <c r="M101" s="326">
        <f t="shared" si="41"/>
        <v>13211550</v>
      </c>
      <c r="N101" s="326">
        <f t="shared" si="41"/>
        <v>12350000</v>
      </c>
      <c r="O101" s="326">
        <f t="shared" si="41"/>
        <v>4500000</v>
      </c>
      <c r="P101" s="339">
        <f t="shared" si="34"/>
        <v>365914173</v>
      </c>
      <c r="Q101" s="341"/>
      <c r="R101" s="341"/>
      <c r="S101" s="341"/>
      <c r="T101" s="341"/>
      <c r="U101" s="341"/>
      <c r="V101" s="34"/>
      <c r="W101" s="46"/>
      <c r="X101" s="35"/>
      <c r="Y101" s="35"/>
      <c r="Z101" s="35"/>
      <c r="AA101" s="35"/>
      <c r="AB101" s="35"/>
      <c r="AC101" s="36"/>
      <c r="AD101"/>
      <c r="AE101"/>
    </row>
    <row r="102" spans="1:31" s="5" customFormat="1">
      <c r="A102" s="436" t="s">
        <v>851</v>
      </c>
      <c r="B102" s="326">
        <f>IF(OR(B18="A",B18="C"),ROUND(MAX(B101*{5;10;15;20;25;30;35}%-{0;0.25;0.75;1.65;3.25;5.85;9.85}*1000000,0),0),IF(B18="B",IF(B101&lt;2000000,0,ROUND(B101*10%,0)),ROUND(B101*20%,0)))</f>
        <v>337827</v>
      </c>
      <c r="C102" s="326">
        <f>IF(OR(C18="A",C18="C"),ROUND(MAX(C101*{5;10;15;20;25;30;35}%-{0;0.25;0.75;1.65;3.25;5.85;9.85}*1000000,0),0),IF(C18="B",IF(C101&lt;2000000,0,ROUND(C101*10%,0)),ROUND(C101*20%,0)))</f>
        <v>0</v>
      </c>
      <c r="D102" s="326"/>
      <c r="E102" s="326">
        <f>IF(OR(E18="A",E18="C"),ROUND(MAX(E101*{5;10;15;20;25;30;35}%-{0;0.25;0.75;1.65;3.25;5.85;9.85}*1000000,0),0),IF(E18="B",IF(E101&lt;2000000,0,ROUND(E101*10%,0)),ROUND(E101*20%,0)))</f>
        <v>2180191</v>
      </c>
      <c r="F102" s="326">
        <f>IF(OR(F18="A",F18="C"),ROUND(MAX(F101*{5;10;15;20;25;30;35}%-{0;0.25;0.75;1.65;3.25;5.85;9.85}*1000000,0),0),IF(F18="B",IF(F101&lt;2000000,0,ROUND(F101*10%,0)),ROUND(F101*20%,0)))</f>
        <v>2120000</v>
      </c>
      <c r="G102" s="326">
        <f>IF(OR(G18="A",G18="C"),ROUND(MAX(G101*{5;10;15;20;25;30;35}%-{0;0.25;0.75;1.65;3.25;5.85;9.85}*1000000,0),0),IF(G18="B",IF(G101&lt;2000000,0,ROUND(G101*10%,0)),ROUND(G101*20%,0)))</f>
        <v>13592700</v>
      </c>
      <c r="H102" s="326">
        <f>IF(OR(H18="A",H18="C"),ROUND(MAX(H101*{5;10;15;20;25;30;35}%-{0;0.25;0.75;1.65;3.25;5.85;9.85}*1000000,0),0),IF(H18="B",IF(H101&lt;2000000,0,ROUND(H101*10%,0)),ROUND(H101*20%,0)))</f>
        <v>17157721</v>
      </c>
      <c r="I102" s="326">
        <f>IF(OR(I18="A",I18="C"),ROUND(MAX(I101*{5;10;15;20;25;30;35}%-{0;0.25;0.75;1.65;3.25;5.85;9.85}*1000000,0),0),IF(I18="B",IF(I101&lt;2000000,0,ROUND(I101*10%,0)),ROUND(I101*20%,0)))</f>
        <v>14706169</v>
      </c>
      <c r="J102" s="326">
        <f>IF(OR(J18="A",J18="C"),ROUND(MAX(J101*{5;10;15;20;25;30;35}%-{0;0.25;0.75;1.65;3.25;5.85;9.85}*1000000,0),0),IF(J18="B",IF(J101&lt;2000000,0,ROUND(J101*10%,0)),ROUND(J101*20%,0)))</f>
        <v>5979750</v>
      </c>
      <c r="K102" s="326">
        <f>IF(OR(K18="A",K18="C"),ROUND(MAX(K101*{5;10;15;20;25;30;35}%-{0;0.25;0.75;1.65;3.25;5.85;9.85}*1000000,0),0),IF(K18="B",IF(K101&lt;2000000,0,ROUND(K101*10%,0)),ROUND(K101*20%,0)))</f>
        <v>1425000</v>
      </c>
      <c r="L102" s="326">
        <f>IF(OR(L18="A",L18="C"),ROUND(MAX(L101*{5;10;15;20;25;30;35}%-{0;0.25;0.75;1.65;3.25;5.85;9.85}*1000000,0),0),IF(L18="B",IF(L101&lt;2000000,0,ROUND(L101*10%,0)),ROUND(L101*20%,0)))</f>
        <v>963750</v>
      </c>
      <c r="M102" s="326">
        <f>IF(OR(M18="A",M18="C"),ROUND(MAX(M101*{5;10;15;20;25;30;35}%-{0;0.25;0.75;1.65;3.25;5.85;9.85}*1000000,0),0),IF(M18="B",IF(M101&lt;2000000,0,ROUND(M101*10%,0)),ROUND(M101*20%,0)))</f>
        <v>1231733</v>
      </c>
      <c r="N102" s="326">
        <f>IF(OR(N18="A",N18="C"),ROUND(MAX(N101*{5;10;15;20;25;30;35}%-{0;0.25;0.75;1.65;3.25;5.85;9.85}*1000000,0),0),IF(N18="B",IF(N101&lt;2000000,0,ROUND(N101*10%,0)),ROUND(N101*20%,0)))</f>
        <v>1102500</v>
      </c>
      <c r="O102" s="326">
        <f>IF(OR(O18="A",O18="C"),ROUND(MAX(O101*{5;10;15;20;25;30;35}%-{0;0.25;0.75;1.65;3.25;5.85;9.85}*1000000,0),0),IF(O18="B",IF(O101&lt;2000000,0,ROUND(O101*10%,0)),ROUND(O101*20%,0)))</f>
        <v>450000</v>
      </c>
      <c r="P102" s="339">
        <f t="shared" si="34"/>
        <v>61247341</v>
      </c>
      <c r="Q102" s="341"/>
      <c r="R102" s="374"/>
      <c r="S102" s="374"/>
      <c r="T102" s="374"/>
      <c r="U102" s="374"/>
      <c r="V102"/>
      <c r="W102"/>
      <c r="X102"/>
      <c r="Y102"/>
      <c r="Z102"/>
      <c r="AA102"/>
      <c r="AB102"/>
      <c r="AC102"/>
      <c r="AD102"/>
      <c r="AE102"/>
    </row>
    <row r="103" spans="1:31" s="5" customFormat="1">
      <c r="A103" s="436" t="s">
        <v>866</v>
      </c>
      <c r="B103" s="326">
        <f>B94+'UAT7-Jul'!B113</f>
        <v>98987315</v>
      </c>
      <c r="C103" s="326">
        <f>C94+'UAT7-Jul'!C113</f>
        <v>82676862</v>
      </c>
      <c r="D103" s="326">
        <f>D94+'UAT7-Jul'!D113</f>
        <v>78771713</v>
      </c>
      <c r="E103" s="326">
        <f>E94+'UAT7-Jul'!E113</f>
        <v>176680014</v>
      </c>
      <c r="F103" s="326">
        <f>F94+'UAT7-Jul'!F113</f>
        <v>107600000</v>
      </c>
      <c r="G103" s="326">
        <f>G94+'UAT7-Jul'!G113</f>
        <v>521809825</v>
      </c>
      <c r="H103" s="326">
        <f>H94+'UAT7-Jul'!H113</f>
        <v>693042030</v>
      </c>
      <c r="I103" s="326">
        <f>I94+'UAT7-Jul'!I113</f>
        <v>649304424</v>
      </c>
      <c r="J103" s="326">
        <f>J94+'UAT7-Jul'!J113</f>
        <v>301173914</v>
      </c>
      <c r="K103" s="326">
        <f>K94+'UAT7-Jul'!K113</f>
        <v>101500000</v>
      </c>
      <c r="L103" s="326">
        <f>L94+'UAT7-Jul'!L113</f>
        <v>495000000</v>
      </c>
      <c r="M103" s="326">
        <f>M94+'UAT7-Jul'!M113</f>
        <v>82673090</v>
      </c>
      <c r="N103" s="326">
        <f>N94+'UAT7-Jul'!N113</f>
        <v>86979616</v>
      </c>
      <c r="O103" s="326">
        <f>O94+'UAT7-Jul'!O113</f>
        <v>34250000</v>
      </c>
      <c r="P103" s="339">
        <f t="shared" si="34"/>
        <v>3510448803</v>
      </c>
      <c r="Q103" s="341"/>
      <c r="R103" s="341"/>
      <c r="S103" s="341"/>
      <c r="T103" s="341"/>
      <c r="U103" s="341"/>
      <c r="V103"/>
      <c r="W103"/>
      <c r="X103"/>
      <c r="Y103"/>
      <c r="Z103"/>
      <c r="AA103"/>
      <c r="AB103"/>
      <c r="AC103"/>
      <c r="AD103"/>
      <c r="AE103"/>
    </row>
    <row r="104" spans="1:31" s="5" customFormat="1">
      <c r="A104" s="436" t="s">
        <v>486</v>
      </c>
      <c r="B104" s="326">
        <f>B102+'UAT7-Jul'!B114</f>
        <v>662920</v>
      </c>
      <c r="C104" s="326">
        <f>C102+'UAT7-Jul'!C114</f>
        <v>0</v>
      </c>
      <c r="D104" s="326">
        <f>D102+'UAT7-Jul'!D114</f>
        <v>678837</v>
      </c>
      <c r="E104" s="326">
        <f>E102+'UAT7-Jul'!E114</f>
        <v>17668004</v>
      </c>
      <c r="F104" s="326">
        <f>F102+'UAT7-Jul'!F114</f>
        <v>10760000</v>
      </c>
      <c r="G104" s="326">
        <f>G102+'UAT7-Jul'!G114</f>
        <v>102782248</v>
      </c>
      <c r="H104" s="326">
        <f>H102+'UAT7-Jul'!H114</f>
        <v>138608407</v>
      </c>
      <c r="I104" s="326">
        <f>I102+'UAT7-Jul'!I114</f>
        <v>129860885</v>
      </c>
      <c r="J104" s="326">
        <f>J102+'UAT7-Jul'!J114</f>
        <v>30969139</v>
      </c>
      <c r="K104" s="326">
        <f>K102+'UAT7-Jul'!K114</f>
        <v>2175000</v>
      </c>
      <c r="L104" s="326">
        <f>L102+'UAT7-Jul'!L114</f>
        <v>88127500</v>
      </c>
      <c r="M104" s="326">
        <f>M102+'UAT7-Jul'!M114</f>
        <v>1479810</v>
      </c>
      <c r="N104" s="326">
        <f>N102+'UAT7-Jul'!N114</f>
        <v>1233981</v>
      </c>
      <c r="O104" s="326">
        <f>O102+'UAT7-Jul'!O114</f>
        <v>3425000</v>
      </c>
      <c r="P104" s="339">
        <f t="shared" si="34"/>
        <v>528431731</v>
      </c>
      <c r="Q104" s="341"/>
      <c r="R104" s="341"/>
      <c r="S104" s="341"/>
      <c r="T104" s="341"/>
      <c r="U104" s="341"/>
      <c r="V104"/>
      <c r="W104"/>
      <c r="X104"/>
      <c r="Y104"/>
      <c r="Z104"/>
      <c r="AA104"/>
      <c r="AB104"/>
      <c r="AC104"/>
      <c r="AD104"/>
      <c r="AE104"/>
    </row>
    <row r="105" spans="1:31" s="5" customFormat="1">
      <c r="A105" s="436" t="s">
        <v>487</v>
      </c>
      <c r="B105" s="326">
        <f>B99+'UAT7-Jul'!B115</f>
        <v>7381500</v>
      </c>
      <c r="C105" s="326">
        <f>C99+'UAT7-Jul'!C115</f>
        <v>6041385</v>
      </c>
      <c r="D105" s="326">
        <f>D99+'UAT7-Jul'!D115</f>
        <v>1312500</v>
      </c>
      <c r="E105" s="326">
        <f>E99+'UAT7-Jul'!E115</f>
        <v>8557500</v>
      </c>
      <c r="F105" s="326">
        <f>F99+'UAT7-Jul'!F115</f>
        <v>0</v>
      </c>
      <c r="G105" s="326">
        <f>G99+'UAT7-Jul'!G115</f>
        <v>1728000</v>
      </c>
      <c r="H105" s="326">
        <f>H99+'UAT7-Jul'!H115</f>
        <v>3396000</v>
      </c>
      <c r="I105" s="326">
        <f>I99+'UAT7-Jul'!I115</f>
        <v>2979000</v>
      </c>
      <c r="J105" s="326">
        <f>J99+'UAT7-Jul'!J115</f>
        <v>21735000</v>
      </c>
      <c r="K105" s="326">
        <f>K99+'UAT7-Jul'!K115</f>
        <v>0</v>
      </c>
      <c r="L105" s="326">
        <f>L99+'UAT7-Jul'!L115</f>
        <v>21375000</v>
      </c>
      <c r="M105" s="326">
        <f>M99+'UAT7-Jul'!M115</f>
        <v>0</v>
      </c>
      <c r="N105" s="326">
        <f>N99+'UAT7-Jul'!N115</f>
        <v>0</v>
      </c>
      <c r="O105" s="326">
        <f>O99+'UAT7-Jul'!O115</f>
        <v>0</v>
      </c>
      <c r="P105" s="339">
        <f t="shared" si="34"/>
        <v>74505885</v>
      </c>
      <c r="Q105" s="341"/>
      <c r="R105" s="341"/>
      <c r="S105" s="341"/>
      <c r="T105" s="341"/>
      <c r="U105" s="341"/>
      <c r="V105"/>
      <c r="W105"/>
      <c r="X105"/>
      <c r="Y105"/>
      <c r="Z105"/>
      <c r="AA105"/>
      <c r="AB105"/>
      <c r="AC105"/>
      <c r="AD105"/>
      <c r="AE105"/>
    </row>
    <row r="106" spans="1:31" s="5" customFormat="1">
      <c r="A106" s="405"/>
      <c r="B106" s="14"/>
      <c r="C106" s="7"/>
      <c r="D106" s="7"/>
      <c r="E106" s="316"/>
      <c r="F106" s="7"/>
      <c r="G106" s="7"/>
      <c r="H106" s="7"/>
      <c r="I106" s="7"/>
      <c r="J106" s="7"/>
      <c r="K106" s="316"/>
      <c r="L106" s="316"/>
      <c r="M106" s="316"/>
      <c r="N106" s="316"/>
      <c r="O106" s="316"/>
      <c r="P106" s="339"/>
      <c r="Q106" s="341"/>
      <c r="R106" s="341"/>
      <c r="S106" s="341"/>
      <c r="T106" s="341"/>
      <c r="U106" s="341"/>
      <c r="V106"/>
      <c r="W106"/>
      <c r="X106"/>
      <c r="Y106"/>
      <c r="Z106"/>
      <c r="AA106"/>
      <c r="AB106"/>
      <c r="AC106"/>
      <c r="AD106"/>
      <c r="AE106"/>
    </row>
    <row r="107" spans="1:31" s="5" customFormat="1" ht="15.6">
      <c r="A107" s="404" t="s">
        <v>775</v>
      </c>
      <c r="B107" s="14"/>
      <c r="C107" s="7"/>
      <c r="D107" s="7"/>
      <c r="E107" s="316"/>
      <c r="F107" s="7"/>
      <c r="G107" s="7"/>
      <c r="H107" s="7"/>
      <c r="I107" s="7"/>
      <c r="J107" s="7"/>
      <c r="K107" s="316"/>
      <c r="L107" s="316"/>
      <c r="M107" s="316"/>
      <c r="N107" s="316"/>
      <c r="O107" s="375"/>
      <c r="P107" s="340"/>
      <c r="Q107" s="341"/>
      <c r="R107" s="341"/>
      <c r="S107" s="341"/>
      <c r="T107" s="341"/>
      <c r="U107" s="341"/>
      <c r="V107"/>
      <c r="W107"/>
      <c r="X107"/>
      <c r="Y107"/>
      <c r="Z107"/>
      <c r="AA107"/>
      <c r="AB107"/>
      <c r="AC107"/>
      <c r="AD107"/>
      <c r="AE107"/>
    </row>
    <row r="108" spans="1:31" s="5" customFormat="1">
      <c r="A108" s="436" t="s">
        <v>431</v>
      </c>
      <c r="B108" s="531">
        <f>'UAT7-Jul'!B118</f>
        <v>160</v>
      </c>
      <c r="C108" s="531">
        <f>'UAT7-Jul'!C118</f>
        <v>144</v>
      </c>
      <c r="D108" s="531"/>
      <c r="E108" s="531">
        <f>'UAT7-Jul'!E118</f>
        <v>160</v>
      </c>
      <c r="F108" s="531">
        <f>'UAT7-Jul'!F118</f>
        <v>128</v>
      </c>
      <c r="G108" s="531">
        <f>'UAT7-Jul'!G118</f>
        <v>102.14</v>
      </c>
      <c r="H108" s="531">
        <f>'UAT7-Jul'!H118</f>
        <v>80</v>
      </c>
      <c r="I108" s="531">
        <f>'UAT7-Jul'!I118</f>
        <v>0</v>
      </c>
      <c r="J108" s="531">
        <f>'UAT7-Jul'!J118</f>
        <v>88.64</v>
      </c>
      <c r="K108" s="531">
        <f>'UAT7-Jul'!K118</f>
        <v>160</v>
      </c>
      <c r="L108" s="531">
        <f>'UAT7-Jul'!L118</f>
        <v>160</v>
      </c>
      <c r="M108" s="531">
        <f>'UAT7-Jul'!M118</f>
        <v>160</v>
      </c>
      <c r="N108" s="531">
        <f>'UAT7-Jul'!N118</f>
        <v>160</v>
      </c>
      <c r="O108" s="531">
        <f>'UAT7-Jul'!O118</f>
        <v>85.699999999999989</v>
      </c>
      <c r="P108" s="653">
        <f>SUM(B108:O108)</f>
        <v>1588.48</v>
      </c>
      <c r="Q108" s="341"/>
      <c r="R108" s="341"/>
      <c r="S108" s="341"/>
      <c r="T108" s="341"/>
      <c r="U108" s="341"/>
      <c r="AD108"/>
      <c r="AE108"/>
    </row>
    <row r="109" spans="1:31" s="5" customFormat="1">
      <c r="A109" s="436" t="s">
        <v>432</v>
      </c>
      <c r="B109" s="531">
        <f>'UAT7-Jul'!B119</f>
        <v>80</v>
      </c>
      <c r="C109" s="531">
        <f>'UAT7-Jul'!C119</f>
        <v>72</v>
      </c>
      <c r="D109" s="531"/>
      <c r="E109" s="531">
        <f>'UAT7-Jul'!E119</f>
        <v>80</v>
      </c>
      <c r="F109" s="531">
        <f>'UAT7-Jul'!F119</f>
        <v>64</v>
      </c>
      <c r="G109" s="531">
        <f>'UAT7-Jul'!G119</f>
        <v>51.07</v>
      </c>
      <c r="H109" s="531">
        <f>'UAT7-Jul'!H119</f>
        <v>40</v>
      </c>
      <c r="I109" s="531">
        <f>'UAT7-Jul'!I119</f>
        <v>0</v>
      </c>
      <c r="J109" s="531">
        <f>'UAT7-Jul'!J119</f>
        <v>44.32</v>
      </c>
      <c r="K109" s="531">
        <f>'UAT7-Jul'!K119</f>
        <v>80</v>
      </c>
      <c r="L109" s="531">
        <f>'UAT7-Jul'!L119</f>
        <v>80</v>
      </c>
      <c r="M109" s="531">
        <f>'UAT7-Jul'!M119</f>
        <v>80</v>
      </c>
      <c r="N109" s="531">
        <f>'UAT7-Jul'!N119</f>
        <v>80</v>
      </c>
      <c r="O109" s="531">
        <f>'UAT7-Jul'!O119</f>
        <v>42.849999999999994</v>
      </c>
      <c r="P109" s="653">
        <f>SUM(B109:O109)</f>
        <v>794.24</v>
      </c>
      <c r="Q109" s="341"/>
      <c r="R109" s="341"/>
      <c r="S109" s="341"/>
      <c r="T109" s="341"/>
      <c r="U109" s="341"/>
      <c r="AD109"/>
      <c r="AE109"/>
    </row>
    <row r="110" spans="1:31" s="5" customFormat="1">
      <c r="A110" s="436" t="s">
        <v>433</v>
      </c>
      <c r="B110" s="531">
        <f>'UAT7-Jul'!B120</f>
        <v>0</v>
      </c>
      <c r="C110" s="531">
        <f>'UAT7-Jul'!C120</f>
        <v>0</v>
      </c>
      <c r="D110" s="531"/>
      <c r="E110" s="531">
        <f>'UAT7-Jul'!E120</f>
        <v>0</v>
      </c>
      <c r="F110" s="531">
        <f>'UAT7-Jul'!F120</f>
        <v>0</v>
      </c>
      <c r="G110" s="531">
        <f>'UAT7-Jul'!G120</f>
        <v>0</v>
      </c>
      <c r="H110" s="531">
        <f>'UAT7-Jul'!H120</f>
        <v>0</v>
      </c>
      <c r="I110" s="531">
        <f>'UAT7-Jul'!I120</f>
        <v>0</v>
      </c>
      <c r="J110" s="531">
        <f>'UAT7-Jul'!J120</f>
        <v>0</v>
      </c>
      <c r="K110" s="531">
        <f>'UAT7-Jul'!K120</f>
        <v>0</v>
      </c>
      <c r="L110" s="531">
        <f>'UAT7-Jul'!L120</f>
        <v>0</v>
      </c>
      <c r="M110" s="531">
        <f>'UAT7-Jul'!M120</f>
        <v>0</v>
      </c>
      <c r="N110" s="531">
        <f>'UAT7-Jul'!N120</f>
        <v>0</v>
      </c>
      <c r="O110" s="531">
        <f>'UAT7-Jul'!O120</f>
        <v>0</v>
      </c>
      <c r="P110" s="653">
        <f>SUM(B110:O110)</f>
        <v>0</v>
      </c>
      <c r="Q110" s="516"/>
      <c r="R110" s="516"/>
      <c r="S110" s="516"/>
      <c r="T110" s="516"/>
      <c r="U110" s="516"/>
      <c r="AD110"/>
      <c r="AE110"/>
    </row>
    <row r="111" spans="1:31" s="5" customFormat="1">
      <c r="A111" s="436" t="s">
        <v>434</v>
      </c>
      <c r="B111" s="531">
        <f>'UAT7-Jul'!B121</f>
        <v>0</v>
      </c>
      <c r="C111" s="531">
        <f>'UAT7-Jul'!C121</f>
        <v>0</v>
      </c>
      <c r="D111" s="531"/>
      <c r="E111" s="531">
        <f>'UAT7-Jul'!E121</f>
        <v>0</v>
      </c>
      <c r="F111" s="531">
        <f>'UAT7-Jul'!F121</f>
        <v>0</v>
      </c>
      <c r="G111" s="531">
        <f>'UAT7-Jul'!G121</f>
        <v>0</v>
      </c>
      <c r="H111" s="531">
        <f>'UAT7-Jul'!H121</f>
        <v>0</v>
      </c>
      <c r="I111" s="531">
        <f>'UAT7-Jul'!I121</f>
        <v>0</v>
      </c>
      <c r="J111" s="531">
        <f>'UAT7-Jul'!J121</f>
        <v>0</v>
      </c>
      <c r="K111" s="531">
        <f>'UAT7-Jul'!K121</f>
        <v>0</v>
      </c>
      <c r="L111" s="531">
        <f>'UAT7-Jul'!L121</f>
        <v>0</v>
      </c>
      <c r="M111" s="531">
        <f>'UAT7-Jul'!M121</f>
        <v>0</v>
      </c>
      <c r="N111" s="531">
        <f>'UAT7-Jul'!N121</f>
        <v>0</v>
      </c>
      <c r="O111" s="531">
        <f>'UAT7-Jul'!O121</f>
        <v>0</v>
      </c>
      <c r="P111" s="653">
        <f>SUM(B111:O111)</f>
        <v>0</v>
      </c>
      <c r="Q111"/>
      <c r="R111" s="341"/>
      <c r="S111" s="341"/>
      <c r="T111" s="341"/>
      <c r="U111" s="341"/>
      <c r="AD111"/>
      <c r="AE111"/>
    </row>
    <row r="112" spans="1:31">
      <c r="A112" s="436" t="s">
        <v>435</v>
      </c>
      <c r="B112" s="531">
        <f>'UAT7-Jul'!B122</f>
        <v>15.379999999999999</v>
      </c>
      <c r="C112" s="531">
        <f>'UAT7-Jul'!C122</f>
        <v>0</v>
      </c>
      <c r="D112" s="531"/>
      <c r="E112" s="531">
        <f>'UAT7-Jul'!E122</f>
        <v>0</v>
      </c>
      <c r="F112" s="531">
        <f>'UAT7-Jul'!F122</f>
        <v>0</v>
      </c>
      <c r="G112" s="531">
        <f>'UAT7-Jul'!G122</f>
        <v>0</v>
      </c>
      <c r="H112" s="531">
        <f>'UAT7-Jul'!H122</f>
        <v>0</v>
      </c>
      <c r="I112" s="531">
        <f>'UAT7-Jul'!I122</f>
        <v>0</v>
      </c>
      <c r="J112" s="531">
        <f>'UAT7-Jul'!J122</f>
        <v>8</v>
      </c>
      <c r="K112" s="531">
        <f>'UAT7-Jul'!K122</f>
        <v>0</v>
      </c>
      <c r="L112" s="531">
        <f>'UAT7-Jul'!L122</f>
        <v>0</v>
      </c>
      <c r="M112" s="531">
        <f>'UAT7-Jul'!M122</f>
        <v>0</v>
      </c>
      <c r="N112" s="531">
        <f>'UAT7-Jul'!N122</f>
        <v>0</v>
      </c>
      <c r="O112" s="531">
        <f>'UAT7-Jul'!O122</f>
        <v>0</v>
      </c>
      <c r="P112" s="653">
        <f>SUM(B112:O112)</f>
        <v>23.38</v>
      </c>
    </row>
    <row r="113" spans="1:31">
      <c r="A113" s="436"/>
      <c r="F113" s="5"/>
      <c r="G113" s="5"/>
      <c r="H113" s="5"/>
      <c r="I113" s="5"/>
      <c r="P113" s="341"/>
    </row>
    <row r="114" spans="1:31" ht="15.6">
      <c r="A114" s="404" t="s">
        <v>436</v>
      </c>
    </row>
    <row r="115" spans="1:31">
      <c r="A115" s="6" t="s">
        <v>809</v>
      </c>
      <c r="B115" s="528">
        <f>IF(OR(B11="S",B11="C"),0,IF(OR(B11="1",B11="3"),ROUND(20*8*B16/365,5),ROUND(20*'New Hire'!C24*B16/365,5)))+'UAT7-Jul'!B125</f>
        <v>106.52052999999999</v>
      </c>
      <c r="C115" s="528">
        <f>IF(OR(C11="S",C11="C"),0,IF(OR(C11="1",C11="3"),ROUND(20*8*C16/365,5),ROUND(20*'New Hire'!D24*C16/365,5)))+'UAT7-Jul'!C125</f>
        <v>95.868520000000018</v>
      </c>
      <c r="D115" s="528"/>
      <c r="E115" s="528">
        <f>IF(OR(E11="S",E11="C"),0,IF(OR(E11="1",E11="3"),ROUND(20*8*E16/365,5),ROUND(20*'New Hire'!F24*E16/365,5)))+'UAT7-Jul'!E125</f>
        <v>106.52052999999999</v>
      </c>
      <c r="F115" s="528">
        <f>IF(OR(F11="S",F11="C"),0,IF(OR(F11="1",F11="3"),ROUND(20*8*F16/365,5),ROUND(20*'New Hire'!G24*F16/365,5)))+'UAT7-Jul'!F125</f>
        <v>85.216429999999988</v>
      </c>
      <c r="G115" s="528">
        <f>IF(OR(G11="S",G11="C"),0,IF(OR(G11="1",G11="3"),ROUND(20*8*G16/365,5),ROUND(20*'New Hire'!H24*G16/365,5)))+'UAT7-Jul'!G125</f>
        <v>46.9041</v>
      </c>
      <c r="H115" s="528">
        <f>IF(OR(H11="S",H11="C"),0,IF(OR(H11="1",H11="3"),ROUND(20*8*H16/365,5),ROUND(20*'New Hire'!I24*H16/365,5)))+'UAT7-Jul'!H125</f>
        <v>53.260269999999998</v>
      </c>
      <c r="I115" s="528">
        <f>IF(OR(I11="S",I11="C"),0,IF(OR(I11="1",I11="3"),ROUND(20*8*I16/365,5),ROUND(20*'New Hire'!J24*I16/365,5)))+'UAT7-Jul'!I125</f>
        <v>0</v>
      </c>
      <c r="J115" s="528">
        <f>IF(OR(J11="S",J11="C"),0,IF(OR(J11="1",J11="3"),ROUND(20*8*J16/365,5),ROUND(20*'New Hire'!K24*J16/365,5)))+'UAT7-Jul'!J125</f>
        <v>56.547920000000005</v>
      </c>
      <c r="K115" s="528">
        <f>IF(OR(K11="S",K11="C"),0,IF(OR(K11="1",K11="3"),ROUND(20*8*K16/365,5),ROUND(20*'New Hire'!L24*K16/365,5)))+'UAT7-Jul'!K125</f>
        <v>106.52052999999999</v>
      </c>
      <c r="L115" s="528">
        <f>IF(OR(L11="S",L11="C"),0,IF(OR(L11="1",L11="3"),ROUND(20*8*L16/365,5),ROUND(20*'New Hire'!M24*L16/365,5)))+'UAT7-Jul'!L125</f>
        <v>106.52052999999999</v>
      </c>
      <c r="M115" s="528">
        <f>IF(OR(M11="S",M11="C"),0,IF(OR(M11="1",M11="3"),ROUND(20*8*M16/365,5),ROUND(20*'New Hire'!N24*M16/365,5)))+'UAT7-Jul'!M125</f>
        <v>106.52052999999999</v>
      </c>
      <c r="N115" s="528">
        <f>IF(OR(N11="S",N11="C"),0,IF(OR(N11="1",N11="3"),ROUND(20*8*N16/365,5),ROUND(20*'New Hire'!O24*N16/365,5)))+'UAT7-Jul'!N125</f>
        <v>106.52052999999999</v>
      </c>
      <c r="O115" s="528">
        <v>0</v>
      </c>
    </row>
    <row r="116" spans="1:31">
      <c r="A116" s="6" t="s">
        <v>810</v>
      </c>
      <c r="B116" s="529">
        <f>IF(OR(B11="S",B11="C"),0,IF(OR(B11="1",B11="3"),ROUND(10*8*B16/365,5),ROUND(10*'New Hire'!C24*B16/365,5)))+'UAT7-Jul'!B126</f>
        <v>53.260269999999998</v>
      </c>
      <c r="C116" s="529">
        <f>IF(OR(C11="S",C11="C"),0,IF(OR(C11="1",C11="3"),ROUND(10*8*C16/365,5),ROUND(10*'New Hire'!D24*C16/365,5)))+'UAT7-Jul'!C126</f>
        <v>47.934260000000009</v>
      </c>
      <c r="D116" s="529"/>
      <c r="E116" s="529">
        <f>IF(OR(E11="S",E11="C"),0,IF(OR(E11="1",E11="3"),ROUND(10*8*E16/365,5),ROUND(10*'New Hire'!F24*E16/365,5)))+'UAT7-Jul'!E126</f>
        <v>53.260269999999998</v>
      </c>
      <c r="F116" s="529">
        <f>IF(OR(F11="S",F11="C"),0,IF(OR(F11="1",F11="3"),ROUND(10*8*F16/365,5),ROUND(10*'New Hire'!G24*F16/365,5)))+'UAT7-Jul'!F126</f>
        <v>42.608229999999999</v>
      </c>
      <c r="G116" s="529">
        <f>IF(OR(G11="S",G11="C"),0,IF(OR(G11="1",G11="3"),ROUND(10*8*G16/365,5),ROUND(10*'New Hire'!H24*G16/365,5)))+'UAT7-Jul'!G126</f>
        <v>23.45205</v>
      </c>
      <c r="H116" s="529">
        <f>IF(OR(H11="S",H11="C"),0,IF(OR(H11="1",H11="3"),ROUND(10*8*H16/365,5),ROUND(10*'New Hire'!I24*H16/365,5)))+'UAT7-Jul'!H126</f>
        <v>26.630129999999998</v>
      </c>
      <c r="I116" s="529">
        <f>IF(OR(I11="S",I11="C"),0,IF(OR(I11="1",I11="3"),ROUND(10*8*I16/365,5),ROUND(10*'New Hire'!J24*I16/365,5)))+'UAT7-Jul'!I126</f>
        <v>0</v>
      </c>
      <c r="J116" s="529">
        <f>IF(OR(J11="S",J11="C"),0,IF(OR(J11="1",J11="3"),ROUND(10*8*J16/365,5),ROUND(10*'New Hire'!K24*J16/365,5)))+'UAT7-Jul'!J126</f>
        <v>28.273969999999998</v>
      </c>
      <c r="K116" s="529">
        <f>IF(OR(K11="S",K11="C"),0,IF(OR(K11="1",K11="3"),ROUND(10*8*K16/365,5),ROUND(10*'New Hire'!L24*K16/365,5)))+'UAT7-Jul'!K126</f>
        <v>53.260269999999998</v>
      </c>
      <c r="L116" s="529">
        <f>IF(OR(L11="S",L11="C"),0,IF(OR(L11="1",L11="3"),ROUND(10*8*L16/365,5),ROUND(10*'New Hire'!M24*L16/365,5)))+'UAT7-Jul'!L126</f>
        <v>53.260269999999998</v>
      </c>
      <c r="M116" s="529">
        <f>IF(OR(M11="S",M11="C"),0,IF(OR(M11="1",M11="3"),ROUND(10*8*M16/365,5),ROUND(10*'New Hire'!N24*M16/365,5)))+'UAT7-Jul'!M126</f>
        <v>53.260269999999998</v>
      </c>
      <c r="N116" s="529">
        <f>IF(OR(N11="S",N11="C"),0,IF(OR(N11="1",N11="3"),ROUND(10*8*N16/365,5),ROUND(10*'New Hire'!O24*N16/365,5)))+'UAT7-Jul'!N126</f>
        <v>53.260269999999998</v>
      </c>
      <c r="O116" s="529">
        <v>0</v>
      </c>
    </row>
    <row r="117" spans="1:31">
      <c r="A117" s="436" t="s">
        <v>779</v>
      </c>
      <c r="B117" s="528">
        <f>IF('New Hire'!C78=1,ROUND(25/10*B13%/365,5)*B16,0)+'UAT7-Jul'!B127</f>
        <v>0</v>
      </c>
      <c r="C117" s="528">
        <f>IF('New Hire'!D78=1,ROUND(25/10*C13%/365,5)*C16,0)+'UAT7-Jul'!C127</f>
        <v>0.37447999999999992</v>
      </c>
      <c r="D117" s="528"/>
      <c r="E117" s="528">
        <f>IF('New Hire'!F78=1,ROUND(25/10*E13%/365,5)*E16,0)+'UAT7-Jul'!E127</f>
        <v>0</v>
      </c>
      <c r="F117" s="528">
        <f>IF('New Hire'!G78=1,ROUND(25/10*F13%/365,5)*F16,0)+'UAT7-Jul'!F127</f>
        <v>0.33251999999999993</v>
      </c>
      <c r="G117" s="528">
        <f>IF('New Hire'!H78=1,ROUND(25/10*G13%/365,5)*G16,0)+'UAT7-Jul'!G127</f>
        <v>0</v>
      </c>
      <c r="H117" s="528">
        <f>IF('New Hire'!I78=1,ROUND(25/10*H13%/365,5)*H16,0)+'UAT7-Jul'!H127</f>
        <v>0</v>
      </c>
      <c r="I117" s="528">
        <f>IF('New Hire'!J78=1,ROUND(25/10*I13%/365,5)*I16,0)+'UAT7-Jul'!I127</f>
        <v>0</v>
      </c>
      <c r="J117" s="528">
        <f>IF('New Hire'!K78=1,ROUND(25/10*J13%/365,5)*J16,0)+'UAT7-Jul'!J127</f>
        <v>0</v>
      </c>
      <c r="K117" s="528">
        <f>IF('New Hire'!L78=1,ROUND(25/10*K13%/365,5)*K16,0)+'UAT7-Jul'!K127</f>
        <v>0</v>
      </c>
      <c r="L117" s="528">
        <f>IF('New Hire'!M78=1,ROUND(25/10*L13%/365,5)*L16,0)+'UAT7-Jul'!L127</f>
        <v>0</v>
      </c>
      <c r="M117" s="528">
        <f>IF('New Hire'!N78=1,ROUND(25/10*M13%/365,5)*M16,0)+'UAT7-Jul'!M127</f>
        <v>0</v>
      </c>
      <c r="N117" s="528">
        <f>IF('New Hire'!O78=1,ROUND(25/10*N13%/365,5)*N16,0)+'UAT7-Jul'!N127</f>
        <v>0</v>
      </c>
      <c r="O117" s="528">
        <f>IF('New Hire'!P78=1,ROUND(25/10*O13%/365,5)*O16,0)+'UAT7-Jul'!O127</f>
        <v>0</v>
      </c>
      <c r="P117" s="285"/>
    </row>
    <row r="118" spans="1:31">
      <c r="A118" s="436" t="s">
        <v>780</v>
      </c>
      <c r="B118" s="529">
        <f>IF(B11="C",0,IF('New Hire'!C78=1,0,ROUND(5/5*B13%/365,5)*B16)+'UAT7-Jul'!B128)</f>
        <v>0.16717999999999994</v>
      </c>
      <c r="C118" s="529">
        <f>IF(C11="C",0,IF('New Hire'!D78=1,0,ROUND(5/5*C13%/365,5)*C16)+'UAT7-Jul'!C128)</f>
        <v>0</v>
      </c>
      <c r="D118" s="529"/>
      <c r="E118" s="529">
        <f>IF(E11="C",0,IF('New Hire'!F78=1,0,ROUND(5/5*E13%/365,5)*E16)+'UAT7-Jul'!E128)</f>
        <v>0.16717999999999994</v>
      </c>
      <c r="F118" s="529">
        <f>IF(F11="C",0,IF('New Hire'!G78=1,0,ROUND(5/5*F13%/365,5)*F16)+'UAT7-Jul'!F128)</f>
        <v>0</v>
      </c>
      <c r="G118" s="529">
        <f>IF(G11="C",0,IF('New Hire'!H78=1,0,ROUND(5/5*G13%/365,5)*G16)+'UAT7-Jul'!G128)</f>
        <v>3.2100000000000002E-3</v>
      </c>
      <c r="H118" s="529">
        <f>IF(H11="C",0,IF('New Hire'!I78=1,0,ROUND(5/5*H13%/365,5)*H16)+'UAT7-Jul'!H128)</f>
        <v>8.2669999999999993E-2</v>
      </c>
      <c r="I118" s="529">
        <f>IF(I11="C",0,IF('New Hire'!J78=1,0,ROUND(5/5*I13%/365,5)*I16)+'UAT7-Jul'!I128)</f>
        <v>8.9779999999999999E-2</v>
      </c>
      <c r="J118" s="529">
        <f>IF(J11="C",0,IF('New Hire'!K78=1,0,ROUND(5/5*J13%/365,5)*J16)+'UAT7-Jul'!J128)</f>
        <v>5.452000000000002E-2</v>
      </c>
      <c r="K118" s="529">
        <f>IF(K11="C",0,IF('New Hire'!L78=1,0,ROUND(5/5*K13%/365,5)*K16)+'UAT7-Jul'!K128)</f>
        <v>0.16717999999999994</v>
      </c>
      <c r="L118" s="529">
        <f>IF(L11="C",0,IF('New Hire'!M78=1,0,ROUND(5/5*L13%/365,5)*L16)+'UAT7-Jul'!L128)</f>
        <v>0.16717999999999994</v>
      </c>
      <c r="M118" s="529">
        <f>IF(M11="C",0,IF('New Hire'!N78=1,0,ROUND(5/5*M13%/365,5)*M16)+'UAT7-Jul'!M128)</f>
        <v>0.16717999999999994</v>
      </c>
      <c r="N118" s="529">
        <f>IF(N11="C",0,IF('New Hire'!O78=1,0,ROUND(5/5*N13%/365,5)*N16)+'UAT7-Jul'!N128)</f>
        <v>0.16717999999999994</v>
      </c>
      <c r="O118" s="529">
        <f>IF(O11="C",0,IF('New Hire'!P78=1,0,ROUND(5/5*O13%/365,5)*O16)+'UAT7-Jul'!O128)</f>
        <v>3.0699999999999998E-3</v>
      </c>
    </row>
    <row r="119" spans="1:31">
      <c r="A119" s="436"/>
      <c r="B119" s="526"/>
      <c r="C119" s="526"/>
      <c r="D119" s="526"/>
      <c r="E119" s="526"/>
      <c r="F119" s="526"/>
      <c r="G119" s="526"/>
      <c r="H119" s="526"/>
      <c r="I119" s="526"/>
      <c r="J119" s="526"/>
      <c r="K119" s="526"/>
      <c r="L119" s="526"/>
      <c r="M119" s="526"/>
      <c r="N119" s="526"/>
      <c r="O119" s="526"/>
    </row>
    <row r="120" spans="1:31" ht="15.6">
      <c r="A120" s="404" t="s">
        <v>622</v>
      </c>
    </row>
    <row r="121" spans="1:31">
      <c r="A121" s="514" t="s">
        <v>477</v>
      </c>
      <c r="B121" s="515">
        <f>'UAT7-Jul'!B131</f>
        <v>7000000</v>
      </c>
      <c r="C121" s="515">
        <f>'UAT7-Jul'!C131</f>
        <v>6200000</v>
      </c>
      <c r="D121" s="515"/>
      <c r="E121" s="515">
        <f>'UAT7-Jul'!E131</f>
        <v>11000000</v>
      </c>
      <c r="F121" s="515">
        <f>'UAT7-Jul'!F131</f>
        <v>16000000</v>
      </c>
      <c r="G121" s="515">
        <f>'UAT7-Jul'!G131</f>
        <v>81217500</v>
      </c>
      <c r="H121" s="515">
        <f>'UAT7-Jul'!H131</f>
        <v>127627500</v>
      </c>
      <c r="I121" s="515">
        <f>'UAT7-Jul'!I131</f>
        <v>97461000</v>
      </c>
      <c r="J121" s="515">
        <f>'UAT7-Jul'!J131</f>
        <v>55000000</v>
      </c>
      <c r="K121" s="515">
        <f>'UAT7-Jul'!K131</f>
        <v>10000000</v>
      </c>
      <c r="L121" s="515">
        <f>'UAT7-Jul'!L131</f>
        <v>11500000</v>
      </c>
      <c r="M121" s="515">
        <f>'UAT7-Jul'!M131</f>
        <v>7000000</v>
      </c>
      <c r="N121" s="515">
        <f>'UAT7-Jul'!N131</f>
        <v>8000000</v>
      </c>
      <c r="O121" s="515">
        <f>'UAT7-Jul'!O131</f>
        <v>6000000</v>
      </c>
    </row>
    <row r="122" spans="1:31" s="154" customFormat="1">
      <c r="A122" s="436" t="s">
        <v>750</v>
      </c>
      <c r="B122" s="443"/>
      <c r="C122" s="443"/>
      <c r="D122" s="443"/>
      <c r="E122" s="443"/>
      <c r="F122" s="443"/>
      <c r="G122" s="515"/>
      <c r="H122" s="443"/>
      <c r="I122" s="443"/>
      <c r="J122" s="443"/>
      <c r="K122" s="443"/>
      <c r="L122" s="443"/>
      <c r="M122" s="443"/>
      <c r="N122" s="443"/>
      <c r="O122" s="515"/>
      <c r="P122"/>
      <c r="Q122"/>
      <c r="R122"/>
      <c r="S122"/>
      <c r="T122"/>
      <c r="U122"/>
      <c r="V122" s="5"/>
      <c r="W122" s="5"/>
      <c r="X122" s="5"/>
      <c r="Y122" s="5"/>
      <c r="Z122" s="5"/>
      <c r="AA122" s="5"/>
      <c r="AB122" s="5"/>
      <c r="AC122" s="5"/>
      <c r="AD122"/>
      <c r="AE122"/>
    </row>
    <row r="123" spans="1:31">
      <c r="A123" s="442" t="s">
        <v>494</v>
      </c>
      <c r="B123" s="443">
        <f>'UAT7-Jul'!B134</f>
        <v>700000</v>
      </c>
      <c r="C123" s="443">
        <f>'UAT7-Jul'!C134</f>
        <v>620000</v>
      </c>
      <c r="D123" s="443"/>
      <c r="E123" s="443">
        <f>'UAT7-Jul'!E134</f>
        <v>0</v>
      </c>
      <c r="F123" s="443">
        <f>'UAT7-Jul'!F134</f>
        <v>0</v>
      </c>
      <c r="G123" s="443">
        <f>'UAT7-Jul'!G134</f>
        <v>0</v>
      </c>
      <c r="H123" s="443">
        <f>'UAT7-Jul'!H134</f>
        <v>12762750</v>
      </c>
      <c r="I123" s="443">
        <f>'UAT7-Jul'!I134</f>
        <v>0</v>
      </c>
      <c r="J123" s="443">
        <f>'UAT7-Jul'!J134</f>
        <v>5500000</v>
      </c>
      <c r="K123" s="443">
        <f>'UAT7-Jul'!K134</f>
        <v>1000000</v>
      </c>
      <c r="L123" s="443">
        <f>'UAT7-Jul'!L134</f>
        <v>0</v>
      </c>
      <c r="M123" s="443">
        <f>'UAT7-Jul'!M134</f>
        <v>1400000</v>
      </c>
      <c r="N123" s="443">
        <f>'UAT7-Jul'!N134</f>
        <v>1200000</v>
      </c>
      <c r="O123" s="443">
        <f>'UAT7-Jul'!O134</f>
        <v>0</v>
      </c>
      <c r="AD123" s="154"/>
      <c r="AE123" s="154"/>
    </row>
    <row r="124" spans="1:31">
      <c r="A124" s="408" t="s">
        <v>566</v>
      </c>
      <c r="B124" s="443">
        <f>'UAT7-Jul'!B136</f>
        <v>1400000</v>
      </c>
      <c r="C124" s="443">
        <f>'UAT7-Jul'!C136</f>
        <v>1240000</v>
      </c>
      <c r="D124" s="443"/>
      <c r="E124" s="443">
        <f>'UAT7-Jul'!E136</f>
        <v>0</v>
      </c>
      <c r="F124" s="443">
        <f>'UAT7-Jul'!F136</f>
        <v>0</v>
      </c>
      <c r="G124" s="443">
        <f>'UAT7-Jul'!G136</f>
        <v>0</v>
      </c>
      <c r="H124" s="443">
        <f>'UAT7-Jul'!H136</f>
        <v>25525500</v>
      </c>
      <c r="I124" s="443">
        <f>'UAT7-Jul'!I136</f>
        <v>0</v>
      </c>
      <c r="J124" s="443">
        <f>'UAT7-Jul'!J136</f>
        <v>11000000</v>
      </c>
      <c r="K124" s="443">
        <f>'UAT7-Jul'!K136</f>
        <v>2000000</v>
      </c>
      <c r="L124" s="443">
        <f>'UAT7-Jul'!L136</f>
        <v>0</v>
      </c>
      <c r="M124" s="443">
        <f>'UAT7-Jul'!M136</f>
        <v>2100000</v>
      </c>
      <c r="N124" s="443">
        <f>'UAT7-Jul'!N136</f>
        <v>1650000</v>
      </c>
      <c r="O124" s="443">
        <f>'UAT7-Jul'!O136</f>
        <v>0</v>
      </c>
    </row>
    <row r="125" spans="1:31" s="5" customFormat="1">
      <c r="A125" s="416" t="s">
        <v>493</v>
      </c>
      <c r="B125" s="443">
        <f>AA40</f>
        <v>3000000</v>
      </c>
      <c r="C125" s="443">
        <f>AA41</f>
        <v>3000000</v>
      </c>
      <c r="D125" s="443"/>
      <c r="E125" s="443">
        <f>AA42</f>
        <v>3000000</v>
      </c>
      <c r="F125" s="443">
        <f>AA43</f>
        <v>3000000</v>
      </c>
      <c r="G125" s="443"/>
      <c r="H125" s="443"/>
      <c r="I125" s="443"/>
      <c r="J125" s="443">
        <f>AA44</f>
        <v>3000000</v>
      </c>
      <c r="K125" s="443">
        <f>AA45</f>
        <v>3000000</v>
      </c>
      <c r="L125" s="443">
        <f>AA46</f>
        <v>3000000</v>
      </c>
      <c r="M125" s="443">
        <f>AA47</f>
        <v>3000000</v>
      </c>
      <c r="N125" s="443">
        <f>AA48</f>
        <v>3000000</v>
      </c>
      <c r="O125" s="443"/>
      <c r="P125"/>
      <c r="Q125"/>
      <c r="R125"/>
      <c r="S125"/>
      <c r="T125"/>
      <c r="U125"/>
      <c r="AD125"/>
      <c r="AE125"/>
    </row>
    <row r="126" spans="1:31" s="5" customFormat="1">
      <c r="A126" s="405" t="s">
        <v>528</v>
      </c>
      <c r="B126" s="443">
        <f>AA49</f>
        <v>3500000</v>
      </c>
      <c r="C126" s="443">
        <f>AA50</f>
        <v>3500000</v>
      </c>
      <c r="D126" s="443"/>
      <c r="E126" s="443">
        <f>AA51</f>
        <v>3500000</v>
      </c>
      <c r="F126" s="443">
        <f>AA52</f>
        <v>3500000</v>
      </c>
      <c r="G126" s="443"/>
      <c r="H126" s="443">
        <f>AA53*B4</f>
        <v>4641000</v>
      </c>
      <c r="I126" s="443">
        <f>AA54*B4</f>
        <v>4641000</v>
      </c>
      <c r="J126" s="443">
        <f>AA55</f>
        <v>3500000</v>
      </c>
      <c r="K126" s="443">
        <f>AA56</f>
        <v>3500000</v>
      </c>
      <c r="L126" s="443">
        <f>AA57</f>
        <v>3500000</v>
      </c>
      <c r="M126" s="443">
        <f>AA58</f>
        <v>3500000</v>
      </c>
      <c r="N126" s="443">
        <f>AA59</f>
        <v>3500000</v>
      </c>
      <c r="O126" s="443"/>
      <c r="P126"/>
      <c r="Q126"/>
      <c r="R126"/>
      <c r="S126"/>
      <c r="T126"/>
      <c r="U126"/>
      <c r="AD126"/>
      <c r="AE126"/>
    </row>
    <row r="127" spans="1:31" s="5" customFormat="1">
      <c r="A127" s="416" t="s">
        <v>592</v>
      </c>
      <c r="B127" s="443">
        <f>AA71</f>
        <v>2500000</v>
      </c>
      <c r="C127" s="443">
        <f>AA72</f>
        <v>2500000</v>
      </c>
      <c r="D127" s="443"/>
      <c r="E127" s="443">
        <f>AA73</f>
        <v>2500000</v>
      </c>
      <c r="F127" s="443">
        <f>AA74</f>
        <v>2500000</v>
      </c>
      <c r="G127" s="443"/>
      <c r="H127" s="443"/>
      <c r="I127" s="443"/>
      <c r="J127" s="443">
        <f>AA75</f>
        <v>2500000</v>
      </c>
      <c r="K127" s="443">
        <f>AA76</f>
        <v>2500000</v>
      </c>
      <c r="L127" s="443">
        <f>AA77</f>
        <v>2500000</v>
      </c>
      <c r="M127" s="443">
        <f>AA78</f>
        <v>2500000</v>
      </c>
      <c r="N127" s="443">
        <f>AA79</f>
        <v>2500000</v>
      </c>
      <c r="O127" s="443"/>
      <c r="P127"/>
      <c r="Q127"/>
      <c r="R127"/>
      <c r="S127"/>
      <c r="T127"/>
      <c r="U127"/>
      <c r="AD127"/>
      <c r="AE127"/>
    </row>
    <row r="128" spans="1:31" s="5" customFormat="1">
      <c r="A128" s="408" t="s">
        <v>491</v>
      </c>
      <c r="B128" s="443">
        <f>AA80</f>
        <v>730000</v>
      </c>
      <c r="C128" s="443">
        <f>AA81</f>
        <v>730000</v>
      </c>
      <c r="D128" s="443"/>
      <c r="E128" s="443">
        <f>AA82</f>
        <v>730000</v>
      </c>
      <c r="F128" s="443">
        <f>AA83</f>
        <v>730000</v>
      </c>
      <c r="G128" s="443"/>
      <c r="H128" s="443"/>
      <c r="I128" s="443"/>
      <c r="J128" s="443">
        <f>AA84</f>
        <v>730000</v>
      </c>
      <c r="K128" s="443">
        <f>AA85</f>
        <v>730000</v>
      </c>
      <c r="L128" s="443">
        <f>AA86</f>
        <v>730000</v>
      </c>
      <c r="M128" s="443">
        <f>AA87</f>
        <v>730000</v>
      </c>
      <c r="N128" s="443">
        <f>AA88</f>
        <v>730000</v>
      </c>
      <c r="O128" s="443"/>
      <c r="P128"/>
      <c r="Q128"/>
      <c r="R128"/>
      <c r="S128"/>
      <c r="T128"/>
      <c r="U128"/>
      <c r="AD128"/>
      <c r="AE128"/>
    </row>
    <row r="129" spans="1:31" s="5" customFormat="1">
      <c r="A129" s="408" t="s">
        <v>497</v>
      </c>
      <c r="B129" s="443">
        <f>AA60</f>
        <v>4000000</v>
      </c>
      <c r="C129" s="443">
        <f>AA61</f>
        <v>4000000</v>
      </c>
      <c r="D129" s="443"/>
      <c r="E129" s="443">
        <f>AA62</f>
        <v>4000000</v>
      </c>
      <c r="F129" s="443">
        <f>AA63</f>
        <v>4000000</v>
      </c>
      <c r="G129" s="443"/>
      <c r="H129" s="443">
        <f>AA64*B4</f>
        <v>5221125</v>
      </c>
      <c r="I129" s="443">
        <f>AA65*B4</f>
        <v>5221125</v>
      </c>
      <c r="J129" s="443">
        <f>AA66</f>
        <v>4000000</v>
      </c>
      <c r="K129" s="443">
        <f>AA67</f>
        <v>4000000</v>
      </c>
      <c r="L129" s="443">
        <f>AA68</f>
        <v>4000000</v>
      </c>
      <c r="M129" s="443">
        <f>AA69</f>
        <v>4000000</v>
      </c>
      <c r="N129" s="443">
        <f>AA70</f>
        <v>4000000</v>
      </c>
      <c r="O129" s="443"/>
      <c r="P129"/>
      <c r="Q129"/>
      <c r="R129"/>
      <c r="S129"/>
      <c r="T129"/>
      <c r="U129"/>
      <c r="AD129"/>
      <c r="AE129"/>
    </row>
    <row r="130" spans="1:31" s="5" customFormat="1">
      <c r="A130" s="6" t="s">
        <v>623</v>
      </c>
      <c r="B130" s="443"/>
      <c r="C130" s="443"/>
      <c r="D130" s="443"/>
      <c r="E130" s="443"/>
      <c r="F130" s="443"/>
      <c r="G130" s="443"/>
      <c r="H130" s="443"/>
      <c r="I130" s="443"/>
      <c r="J130" s="443"/>
      <c r="K130" s="443"/>
      <c r="L130" s="443"/>
      <c r="M130" s="443"/>
      <c r="N130" s="443"/>
      <c r="O130" s="443"/>
      <c r="P130"/>
      <c r="Q130"/>
      <c r="R130"/>
      <c r="S130"/>
      <c r="T130"/>
      <c r="U130"/>
      <c r="AD130"/>
      <c r="AE130"/>
    </row>
    <row r="131" spans="1:31" s="5" customFormat="1">
      <c r="A131" s="6" t="s">
        <v>624</v>
      </c>
      <c r="B131" s="443"/>
      <c r="C131" s="443"/>
      <c r="D131" s="443"/>
      <c r="E131" s="443"/>
      <c r="F131" s="443"/>
      <c r="G131" s="443"/>
      <c r="H131" s="443"/>
      <c r="I131" s="443"/>
      <c r="J131" s="443"/>
      <c r="K131" s="443"/>
      <c r="L131" s="443"/>
      <c r="M131" s="443"/>
      <c r="N131" s="443"/>
      <c r="O131" s="443"/>
      <c r="P131"/>
      <c r="Q131"/>
      <c r="R131"/>
      <c r="S131"/>
      <c r="T131"/>
      <c r="U131"/>
      <c r="AD131"/>
      <c r="AE131"/>
    </row>
    <row r="132" spans="1:31" s="5" customFormat="1">
      <c r="A132" s="6" t="s">
        <v>625</v>
      </c>
      <c r="B132" s="443"/>
      <c r="C132" s="443"/>
      <c r="D132" s="443"/>
      <c r="E132" s="443"/>
      <c r="F132" s="443"/>
      <c r="G132" s="443"/>
      <c r="H132" s="443"/>
      <c r="I132" s="443"/>
      <c r="J132" s="443"/>
      <c r="K132" s="443"/>
      <c r="L132" s="443"/>
      <c r="M132" s="443"/>
      <c r="N132" s="443"/>
      <c r="O132" s="443"/>
      <c r="P132"/>
      <c r="Q132"/>
      <c r="R132"/>
      <c r="S132"/>
      <c r="T132"/>
      <c r="U132"/>
      <c r="AD132"/>
      <c r="AE132"/>
    </row>
    <row r="133" spans="1:31" s="5" customFormat="1">
      <c r="A133" s="405" t="s">
        <v>606</v>
      </c>
      <c r="B133" s="443"/>
      <c r="C133" s="443"/>
      <c r="D133" s="443"/>
      <c r="E133" s="443"/>
      <c r="F133" s="443"/>
      <c r="G133" s="443">
        <f>'UAT7-Jul'!G146</f>
        <v>2320500</v>
      </c>
      <c r="H133" s="443">
        <f>'UAT7-Jul'!H146</f>
        <v>2320500</v>
      </c>
      <c r="I133" s="443">
        <f>'UAT7-Jul'!I146</f>
        <v>2320500</v>
      </c>
      <c r="J133" s="443"/>
      <c r="K133" s="443"/>
      <c r="L133" s="443"/>
      <c r="M133" s="443"/>
      <c r="N133" s="443"/>
      <c r="O133" s="443"/>
      <c r="P133"/>
      <c r="Q133"/>
      <c r="R133"/>
      <c r="S133"/>
      <c r="T133"/>
      <c r="U133"/>
      <c r="AD133"/>
      <c r="AE133"/>
    </row>
    <row r="134" spans="1:31">
      <c r="A134" s="405" t="s">
        <v>607</v>
      </c>
      <c r="B134" s="443"/>
      <c r="C134" s="443"/>
      <c r="D134" s="443"/>
      <c r="E134" s="443"/>
      <c r="F134" s="443"/>
      <c r="G134" s="443">
        <f>'UAT7-Jul'!G147</f>
        <v>4641000</v>
      </c>
      <c r="H134" s="443">
        <f>'UAT7-Jul'!H147</f>
        <v>4641000</v>
      </c>
      <c r="I134" s="443">
        <f>'UAT7-Jul'!I147</f>
        <v>4641000</v>
      </c>
      <c r="J134" s="443"/>
      <c r="K134" s="443"/>
      <c r="L134" s="443"/>
      <c r="M134" s="443"/>
      <c r="N134" s="443"/>
      <c r="O134" s="443"/>
    </row>
    <row r="135" spans="1:31">
      <c r="A135" s="6" t="s">
        <v>1343</v>
      </c>
      <c r="B135" s="443">
        <f>B121-B133-B134</f>
        <v>7000000</v>
      </c>
      <c r="C135" s="443">
        <f t="shared" ref="C135:O135" si="42">C121-C133-C134</f>
        <v>6200000</v>
      </c>
      <c r="D135" s="443"/>
      <c r="E135" s="443">
        <f t="shared" si="42"/>
        <v>11000000</v>
      </c>
      <c r="F135" s="443">
        <f t="shared" si="42"/>
        <v>16000000</v>
      </c>
      <c r="G135" s="443">
        <f t="shared" si="42"/>
        <v>74256000</v>
      </c>
      <c r="H135" s="443">
        <f t="shared" si="42"/>
        <v>120666000</v>
      </c>
      <c r="I135" s="443">
        <f t="shared" si="42"/>
        <v>90499500</v>
      </c>
      <c r="J135" s="443">
        <f t="shared" si="42"/>
        <v>55000000</v>
      </c>
      <c r="K135" s="443">
        <f t="shared" si="42"/>
        <v>10000000</v>
      </c>
      <c r="L135" s="443">
        <f t="shared" si="42"/>
        <v>11500000</v>
      </c>
      <c r="M135" s="443">
        <f t="shared" si="42"/>
        <v>7000000</v>
      </c>
      <c r="N135" s="443">
        <f t="shared" si="42"/>
        <v>8000000</v>
      </c>
      <c r="O135" s="443">
        <f t="shared" si="42"/>
        <v>6000000</v>
      </c>
    </row>
    <row r="136" spans="1:31">
      <c r="A136" s="6" t="s">
        <v>1344</v>
      </c>
      <c r="B136" s="443">
        <f>B121-ROUND(B133/B13,0)-ROUND(B134/B13,0)</f>
        <v>7000000</v>
      </c>
      <c r="C136" s="443">
        <f>C121-ROUND(C133/C13,0)-ROUND(C134/C13,0)</f>
        <v>6200000</v>
      </c>
      <c r="D136" s="443"/>
      <c r="E136" s="443">
        <f t="shared" ref="E136:O136" si="43">E121-ROUND(E133/E13,0)-ROUND(E134/E13,0)</f>
        <v>11000000</v>
      </c>
      <c r="F136" s="443">
        <f t="shared" si="43"/>
        <v>16000000</v>
      </c>
      <c r="G136" s="443">
        <f t="shared" si="43"/>
        <v>74256000</v>
      </c>
      <c r="H136" s="443">
        <f t="shared" si="43"/>
        <v>113704500</v>
      </c>
      <c r="I136" s="443">
        <f t="shared" si="43"/>
        <v>88179000</v>
      </c>
      <c r="J136" s="443">
        <f t="shared" si="43"/>
        <v>55000000</v>
      </c>
      <c r="K136" s="443">
        <f t="shared" si="43"/>
        <v>10000000</v>
      </c>
      <c r="L136" s="443">
        <f t="shared" si="43"/>
        <v>11500000</v>
      </c>
      <c r="M136" s="443">
        <f t="shared" si="43"/>
        <v>7000000</v>
      </c>
      <c r="N136" s="443">
        <f t="shared" si="43"/>
        <v>8000000</v>
      </c>
      <c r="O136" s="443">
        <f t="shared" si="43"/>
        <v>6000000</v>
      </c>
    </row>
    <row r="137" spans="1:31">
      <c r="A137" s="6" t="s">
        <v>1345</v>
      </c>
      <c r="B137" s="443">
        <f t="shared" ref="B137:O137" si="44">MIN(IF(OR(B18="A",B18="B"),0,ROUND((B136+B123+B124+B126)*B13/$B$4,0)*$B$5),29800000)</f>
        <v>0</v>
      </c>
      <c r="C137" s="443">
        <f t="shared" si="44"/>
        <v>0</v>
      </c>
      <c r="D137" s="443">
        <f t="shared" si="44"/>
        <v>0</v>
      </c>
      <c r="E137" s="443">
        <f t="shared" si="44"/>
        <v>0</v>
      </c>
      <c r="F137" s="443">
        <f t="shared" si="44"/>
        <v>0</v>
      </c>
      <c r="G137" s="443">
        <f t="shared" si="44"/>
        <v>29800000</v>
      </c>
      <c r="H137" s="443">
        <f t="shared" si="44"/>
        <v>29800000</v>
      </c>
      <c r="I137" s="443">
        <f t="shared" si="44"/>
        <v>29800000</v>
      </c>
      <c r="J137" s="443">
        <f t="shared" si="44"/>
        <v>0</v>
      </c>
      <c r="K137" s="443">
        <f t="shared" si="44"/>
        <v>0</v>
      </c>
      <c r="L137" s="443">
        <f t="shared" si="44"/>
        <v>0</v>
      </c>
      <c r="M137" s="443">
        <f t="shared" si="44"/>
        <v>0</v>
      </c>
      <c r="N137" s="443">
        <f t="shared" si="44"/>
        <v>0</v>
      </c>
      <c r="O137" s="443">
        <f t="shared" si="44"/>
        <v>0</v>
      </c>
    </row>
    <row r="138" spans="1:31">
      <c r="A138" s="6" t="s">
        <v>1346</v>
      </c>
      <c r="B138" s="443">
        <f t="shared" ref="B138:O138" si="45">IF(OR(B18="A",B18="B"),0,ROUND((B136+B123+B124+B126)*B13/$B$4,0)*$B$5)</f>
        <v>0</v>
      </c>
      <c r="C138" s="443">
        <f t="shared" si="45"/>
        <v>0</v>
      </c>
      <c r="D138" s="443">
        <f t="shared" si="45"/>
        <v>0</v>
      </c>
      <c r="E138" s="443">
        <f t="shared" si="45"/>
        <v>0</v>
      </c>
      <c r="F138" s="443">
        <f t="shared" si="45"/>
        <v>0</v>
      </c>
      <c r="G138" s="443">
        <f t="shared" si="45"/>
        <v>75200000</v>
      </c>
      <c r="H138" s="443">
        <f t="shared" si="45"/>
        <v>79312500</v>
      </c>
      <c r="I138" s="443">
        <f t="shared" si="45"/>
        <v>70500000</v>
      </c>
      <c r="J138" s="443">
        <f t="shared" si="45"/>
        <v>0</v>
      </c>
      <c r="K138" s="443">
        <f t="shared" si="45"/>
        <v>0</v>
      </c>
      <c r="L138" s="443">
        <f t="shared" si="45"/>
        <v>0</v>
      </c>
      <c r="M138" s="443">
        <f t="shared" si="45"/>
        <v>0</v>
      </c>
      <c r="N138" s="443">
        <f t="shared" si="45"/>
        <v>0</v>
      </c>
      <c r="O138" s="443">
        <f t="shared" si="45"/>
        <v>0</v>
      </c>
    </row>
    <row r="139" spans="1:31">
      <c r="A139" s="6" t="s">
        <v>657</v>
      </c>
      <c r="B139" s="5">
        <v>0</v>
      </c>
      <c r="C139" s="5">
        <v>0</v>
      </c>
      <c r="E139" s="5">
        <v>0</v>
      </c>
      <c r="F139" s="5">
        <v>0</v>
      </c>
      <c r="G139" s="5">
        <v>0</v>
      </c>
      <c r="H139" s="5">
        <v>0</v>
      </c>
      <c r="I139" s="5">
        <v>0</v>
      </c>
      <c r="J139" s="5">
        <v>0</v>
      </c>
      <c r="K139" s="5">
        <v>0</v>
      </c>
      <c r="L139" s="5">
        <v>0</v>
      </c>
      <c r="M139" s="5">
        <v>0</v>
      </c>
      <c r="N139" s="5">
        <v>0</v>
      </c>
      <c r="O139" s="5">
        <v>0</v>
      </c>
    </row>
    <row r="142" spans="1:31">
      <c r="V142" s="154"/>
    </row>
    <row r="144" spans="1:31">
      <c r="W144" s="154"/>
      <c r="X144" s="154"/>
      <c r="Y144" s="154"/>
      <c r="Z144" s="154"/>
      <c r="AA144" s="154"/>
      <c r="AB144" s="154"/>
      <c r="AC144" s="154"/>
    </row>
  </sheetData>
  <mergeCells count="4">
    <mergeCell ref="G6:J6"/>
    <mergeCell ref="X6:AA6"/>
    <mergeCell ref="P7:P8"/>
    <mergeCell ref="X9:AA12"/>
  </mergeCells>
  <phoneticPr fontId="104" type="noConversion"/>
  <pageMargins left="0.75" right="0.75" top="1" bottom="1" header="0.5" footer="0.5"/>
  <pageSetup paperSize="9" orientation="portrait" verticalDpi="90" r:id="rId1"/>
  <headerFooter alignWithMargins="0"/>
  <drawing r:id="rId2"/>
  <legacyDrawing r:id="rId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E182"/>
  <sheetViews>
    <sheetView tabSelected="1" workbookViewId="0">
      <pane xSplit="1" ySplit="9" topLeftCell="B142" activePane="bottomRight" state="frozen"/>
      <selection pane="topRight" activeCell="B1" sqref="B1"/>
      <selection pane="bottomLeft" activeCell="A10" sqref="A10"/>
      <selection pane="bottomRight" activeCell="I146" sqref="I146"/>
    </sheetView>
  </sheetViews>
  <sheetFormatPr defaultRowHeight="13.8"/>
  <cols>
    <col min="1" max="1" width="31" style="5" bestFit="1" customWidth="1"/>
    <col min="2" max="5" width="10.77734375" style="5" customWidth="1"/>
    <col min="6" max="8" width="10.77734375" customWidth="1"/>
    <col min="9" max="9" width="11.6640625" bestFit="1" customWidth="1"/>
    <col min="10" max="15" width="10.77734375" customWidth="1"/>
    <col min="16" max="16" width="12.6640625" bestFit="1" customWidth="1"/>
    <col min="17" max="18" width="12.77734375" customWidth="1"/>
    <col min="19" max="21" width="10.77734375" customWidth="1"/>
    <col min="22" max="26" width="9.33203125" style="5" customWidth="1"/>
    <col min="27" max="27" width="10.77734375" style="5" bestFit="1" customWidth="1"/>
    <col min="28" max="29" width="9.33203125" style="5" customWidth="1"/>
    <col min="31" max="31" width="12.6640625" bestFit="1" customWidth="1"/>
  </cols>
  <sheetData>
    <row r="1" spans="1:29" s="3" customFormat="1" ht="20.399999999999999">
      <c r="A1" s="104" t="s">
        <v>6</v>
      </c>
      <c r="B1" s="104"/>
      <c r="C1" s="104"/>
      <c r="D1" s="104"/>
      <c r="E1" s="104"/>
      <c r="F1" s="440"/>
      <c r="L1" s="8"/>
      <c r="X1" s="1"/>
      <c r="Y1" s="1"/>
      <c r="Z1" s="1"/>
      <c r="AA1" s="1"/>
      <c r="AB1" s="1"/>
      <c r="AC1" s="1"/>
    </row>
    <row r="2" spans="1:29" s="3" customFormat="1" ht="12.75" customHeight="1">
      <c r="B2" s="110"/>
      <c r="C2" s="110"/>
      <c r="D2" s="110"/>
      <c r="E2" s="109"/>
      <c r="V2" s="22"/>
      <c r="W2" s="22"/>
      <c r="X2" s="22"/>
      <c r="Y2" s="22"/>
      <c r="Z2" s="22"/>
      <c r="AA2" s="2"/>
      <c r="AC2" s="2"/>
    </row>
    <row r="3" spans="1:29" s="3" customFormat="1" ht="30">
      <c r="A3" s="106" t="s">
        <v>754</v>
      </c>
      <c r="B3" s="110"/>
      <c r="C3" s="110"/>
      <c r="D3" s="110"/>
      <c r="E3" s="106"/>
      <c r="V3" s="22"/>
      <c r="W3" s="22"/>
      <c r="X3" s="22"/>
      <c r="Y3" s="22"/>
      <c r="Z3" s="22"/>
      <c r="AA3" s="2"/>
      <c r="AC3" s="2"/>
    </row>
    <row r="4" spans="1:29" s="110" customFormat="1">
      <c r="A4" s="110" t="s">
        <v>1265</v>
      </c>
      <c r="B4" s="361">
        <v>23205</v>
      </c>
    </row>
    <row r="5" spans="1:29" s="110" customFormat="1">
      <c r="A5" s="110" t="s">
        <v>1268</v>
      </c>
      <c r="B5" s="361">
        <v>23500</v>
      </c>
    </row>
    <row r="6" spans="1:29" s="3" customFormat="1" ht="18" customHeight="1">
      <c r="A6" s="321">
        <v>43738</v>
      </c>
      <c r="B6" s="705"/>
      <c r="C6" s="110"/>
      <c r="D6" s="110"/>
      <c r="G6" s="748" t="s">
        <v>52</v>
      </c>
      <c r="H6" s="748"/>
      <c r="I6" s="748"/>
      <c r="J6" s="748"/>
      <c r="V6" s="22"/>
      <c r="W6" s="22"/>
      <c r="X6" s="747" t="s">
        <v>65</v>
      </c>
      <c r="Y6" s="747"/>
      <c r="Z6" s="747"/>
      <c r="AA6" s="747"/>
      <c r="AB6" s="2"/>
      <c r="AC6" s="2"/>
    </row>
    <row r="7" spans="1:29" s="4" customFormat="1">
      <c r="A7" s="402"/>
      <c r="B7" s="317" t="s">
        <v>34</v>
      </c>
      <c r="C7" s="318" t="s">
        <v>35</v>
      </c>
      <c r="D7" s="318" t="s">
        <v>36</v>
      </c>
      <c r="E7" s="318" t="s">
        <v>37</v>
      </c>
      <c r="F7" s="318" t="s">
        <v>38</v>
      </c>
      <c r="G7" s="318" t="s">
        <v>39</v>
      </c>
      <c r="H7" s="318" t="s">
        <v>40</v>
      </c>
      <c r="I7" s="318" t="s">
        <v>41</v>
      </c>
      <c r="J7" s="318" t="s">
        <v>42</v>
      </c>
      <c r="K7" s="318" t="s">
        <v>43</v>
      </c>
      <c r="L7" s="318" t="s">
        <v>44</v>
      </c>
      <c r="M7" s="318" t="s">
        <v>45</v>
      </c>
      <c r="N7" s="318" t="s">
        <v>46</v>
      </c>
      <c r="O7" s="318" t="s">
        <v>47</v>
      </c>
      <c r="P7" s="758" t="s">
        <v>498</v>
      </c>
      <c r="Q7" s="343" t="s">
        <v>514</v>
      </c>
      <c r="R7" s="343" t="s">
        <v>515</v>
      </c>
      <c r="S7" s="343" t="s">
        <v>517</v>
      </c>
      <c r="T7" s="343" t="s">
        <v>519</v>
      </c>
      <c r="U7" s="343" t="s">
        <v>521</v>
      </c>
      <c r="V7" s="344"/>
      <c r="W7" s="345"/>
      <c r="X7" s="345"/>
      <c r="Y7" s="345"/>
      <c r="Z7" s="345"/>
      <c r="AA7" s="345"/>
      <c r="AB7" s="345"/>
      <c r="AC7" s="346"/>
    </row>
    <row r="8" spans="1:29" ht="15.6">
      <c r="A8" s="694"/>
      <c r="B8" s="333">
        <f>'New Hire'!C6</f>
        <v>91999901</v>
      </c>
      <c r="C8" s="333">
        <f>'New Hire'!D6</f>
        <v>91999902</v>
      </c>
      <c r="D8" s="333">
        <f>'New Hire'!E6</f>
        <v>91999903</v>
      </c>
      <c r="E8" s="333">
        <f>'New Hire'!F6</f>
        <v>91999904</v>
      </c>
      <c r="F8" s="333">
        <f>'New Hire'!G6</f>
        <v>91999905</v>
      </c>
      <c r="G8" s="333">
        <f>'New Hire'!H6</f>
        <v>91999906</v>
      </c>
      <c r="H8" s="333">
        <f>'New Hire'!I6</f>
        <v>91999907</v>
      </c>
      <c r="I8" s="333">
        <f>'New Hire'!J6</f>
        <v>91999908</v>
      </c>
      <c r="J8" s="333">
        <f>'New Hire'!K6</f>
        <v>91999909</v>
      </c>
      <c r="K8" s="333">
        <f>'New Hire'!L6</f>
        <v>91999910</v>
      </c>
      <c r="L8" s="333">
        <f>'New Hire'!M6</f>
        <v>91999911</v>
      </c>
      <c r="M8" s="333">
        <f>'New Hire'!N6</f>
        <v>91999912</v>
      </c>
      <c r="N8" s="333">
        <f>'New Hire'!O6</f>
        <v>91999913</v>
      </c>
      <c r="O8" s="333">
        <f>'New Hire'!P6</f>
        <v>91999914</v>
      </c>
      <c r="P8" s="759"/>
      <c r="Q8" s="343" t="s">
        <v>513</v>
      </c>
      <c r="R8" s="343" t="s">
        <v>516</v>
      </c>
      <c r="S8" s="343" t="s">
        <v>518</v>
      </c>
      <c r="T8" s="343" t="s">
        <v>520</v>
      </c>
      <c r="U8" s="343" t="s">
        <v>522</v>
      </c>
      <c r="V8" s="47"/>
      <c r="W8" s="48"/>
      <c r="X8" s="20"/>
      <c r="Y8" s="20"/>
      <c r="Z8" s="20"/>
      <c r="AA8" s="20"/>
      <c r="AB8" s="20"/>
      <c r="AC8" s="15"/>
    </row>
    <row r="9" spans="1:29" ht="12.75" customHeight="1">
      <c r="A9" s="699" t="s">
        <v>63</v>
      </c>
      <c r="B9" s="19"/>
      <c r="C9" s="19"/>
      <c r="D9" s="19"/>
      <c r="E9" s="20"/>
      <c r="F9" s="19"/>
      <c r="G9" s="19"/>
      <c r="H9" s="21"/>
      <c r="I9" s="19"/>
      <c r="J9" s="19"/>
      <c r="K9" s="20"/>
      <c r="L9" s="20"/>
      <c r="M9" s="20"/>
      <c r="N9" s="20"/>
      <c r="O9" s="15"/>
      <c r="P9" s="15"/>
      <c r="Q9" s="20"/>
      <c r="R9" s="20"/>
      <c r="S9" s="20"/>
      <c r="T9" s="20"/>
      <c r="U9" s="20"/>
      <c r="V9" s="25"/>
      <c r="W9" s="26"/>
      <c r="X9" s="749" t="s">
        <v>601</v>
      </c>
      <c r="Y9" s="750"/>
      <c r="Z9" s="750"/>
      <c r="AA9" s="751"/>
      <c r="AB9" s="27"/>
      <c r="AC9" s="18"/>
    </row>
    <row r="10" spans="1:29">
      <c r="A10" s="417" t="s">
        <v>478</v>
      </c>
      <c r="B10" s="379">
        <v>43709</v>
      </c>
      <c r="C10" s="379">
        <v>43709</v>
      </c>
      <c r="D10" s="379"/>
      <c r="E10" s="379">
        <v>43709</v>
      </c>
      <c r="F10" s="379">
        <v>43709</v>
      </c>
      <c r="G10" s="379">
        <v>43709</v>
      </c>
      <c r="H10" s="379">
        <v>43709</v>
      </c>
      <c r="I10" s="379">
        <v>43709</v>
      </c>
      <c r="J10" s="379">
        <v>43709</v>
      </c>
      <c r="K10" s="379">
        <v>43709</v>
      </c>
      <c r="L10" s="379">
        <v>43709</v>
      </c>
      <c r="M10" s="379">
        <v>43709</v>
      </c>
      <c r="N10" s="379">
        <v>43709</v>
      </c>
      <c r="O10" s="379">
        <v>43709</v>
      </c>
      <c r="P10" s="336"/>
      <c r="Q10" s="20"/>
      <c r="R10" s="20"/>
      <c r="S10" s="20"/>
      <c r="T10" s="20"/>
      <c r="U10" s="20"/>
      <c r="V10" s="28"/>
      <c r="W10" s="29"/>
      <c r="X10" s="752"/>
      <c r="Y10" s="753"/>
      <c r="Z10" s="753"/>
      <c r="AA10" s="754"/>
      <c r="AB10" s="30"/>
      <c r="AC10" s="15"/>
    </row>
    <row r="11" spans="1:29" ht="12.75" customHeight="1">
      <c r="A11" s="417" t="s">
        <v>489</v>
      </c>
      <c r="B11" s="382" t="str">
        <f>'UAT8-Aug'!B11</f>
        <v>1</v>
      </c>
      <c r="C11" s="382" t="str">
        <f>'UAT8-Aug'!C11</f>
        <v>P</v>
      </c>
      <c r="D11" s="382"/>
      <c r="E11" s="382" t="str">
        <f>'UAT8-Aug'!E11</f>
        <v>3</v>
      </c>
      <c r="F11" s="382">
        <f>'UAT8-Aug'!F11</f>
        <v>4</v>
      </c>
      <c r="G11" s="382" t="str">
        <f>'UAT8-Aug'!G11</f>
        <v>1</v>
      </c>
      <c r="H11" s="382" t="str">
        <f>'UAT8-Aug'!H11</f>
        <v>I</v>
      </c>
      <c r="I11" s="382" t="str">
        <f>'UAT8-Aug'!I11</f>
        <v>S</v>
      </c>
      <c r="J11" s="382" t="str">
        <f>'UAT8-Aug'!J11</f>
        <v>P</v>
      </c>
      <c r="K11" s="382" t="str">
        <f>'UAT8-Aug'!K11</f>
        <v>1</v>
      </c>
      <c r="L11" s="382" t="str">
        <f>'UAT8-Aug'!L11</f>
        <v>1</v>
      </c>
      <c r="M11" s="382">
        <f>'UAT8-Aug'!M11</f>
        <v>3</v>
      </c>
      <c r="N11" s="382">
        <f>'UAT8-Aug'!N11</f>
        <v>3</v>
      </c>
      <c r="O11" s="382" t="str">
        <f>'UAT8-Aug'!O11</f>
        <v>1</v>
      </c>
      <c r="P11" s="336"/>
      <c r="Q11" s="20"/>
      <c r="R11" s="20"/>
      <c r="S11" s="20"/>
      <c r="T11" s="20"/>
      <c r="U11" s="20"/>
      <c r="V11" s="32"/>
      <c r="W11" s="20"/>
      <c r="X11" s="752"/>
      <c r="Y11" s="753"/>
      <c r="Z11" s="753"/>
      <c r="AA11" s="754"/>
      <c r="AB11" s="20"/>
      <c r="AC11" s="15"/>
    </row>
    <row r="12" spans="1:29" ht="12.75" customHeight="1">
      <c r="A12" s="417" t="s">
        <v>490</v>
      </c>
      <c r="B12" s="382" t="str">
        <f>'UAT8-Aug'!B12</f>
        <v>;P</v>
      </c>
      <c r="C12" s="382" t="str">
        <f>'UAT8-Aug'!C12</f>
        <v>;A</v>
      </c>
      <c r="D12" s="382"/>
      <c r="E12" s="382" t="str">
        <f>'UAT8-Aug'!E12</f>
        <v>;I</v>
      </c>
      <c r="F12" s="382" t="str">
        <f>'UAT8-Aug'!F12</f>
        <v>;P</v>
      </c>
      <c r="G12" s="382" t="str">
        <f>'UAT8-Aug'!G12</f>
        <v>;A</v>
      </c>
      <c r="H12" s="382" t="str">
        <f>'UAT8-Aug'!H12</f>
        <v>;A</v>
      </c>
      <c r="I12" s="382" t="str">
        <f>'UAT8-Aug'!I12</f>
        <v>;V</v>
      </c>
      <c r="J12" s="382" t="str">
        <f>'UAT8-Aug'!J12</f>
        <v>;P</v>
      </c>
      <c r="K12" s="382" t="str">
        <f>'UAT8-Aug'!K12</f>
        <v>;A</v>
      </c>
      <c r="L12" s="382" t="str">
        <f>'UAT8-Aug'!L12</f>
        <v>;I</v>
      </c>
      <c r="M12" s="382" t="str">
        <f>'UAT8-Aug'!M12</f>
        <v>;P</v>
      </c>
      <c r="N12" s="382" t="str">
        <f>'UAT8-Aug'!N12</f>
        <v>;P</v>
      </c>
      <c r="O12" s="382" t="str">
        <f>'UAT8-Aug'!O12</f>
        <v>;I</v>
      </c>
      <c r="P12" s="336"/>
      <c r="Q12" s="20"/>
      <c r="R12" s="20"/>
      <c r="S12" s="20"/>
      <c r="T12" s="20"/>
      <c r="U12" s="20"/>
      <c r="V12" s="32"/>
      <c r="W12" s="20"/>
      <c r="X12" s="755"/>
      <c r="Y12" s="756"/>
      <c r="Z12" s="756"/>
      <c r="AA12" s="757"/>
      <c r="AB12" s="20"/>
      <c r="AC12" s="15"/>
    </row>
    <row r="13" spans="1:29">
      <c r="A13" s="448" t="s">
        <v>476</v>
      </c>
      <c r="B13" s="649">
        <f>'UAT8-Aug'!B13</f>
        <v>1</v>
      </c>
      <c r="C13" s="649">
        <f>'UAT8-Aug'!C13</f>
        <v>0.9</v>
      </c>
      <c r="D13" s="649"/>
      <c r="E13" s="649">
        <f>'UAT8-Aug'!E13</f>
        <v>1</v>
      </c>
      <c r="F13" s="649">
        <f>'UAT8-Aug'!F13</f>
        <v>0.8</v>
      </c>
      <c r="G13" s="649">
        <f>'UAT8-Aug'!G13</f>
        <v>1</v>
      </c>
      <c r="H13" s="649">
        <f>'UAT8-Aug'!H13</f>
        <v>0.5</v>
      </c>
      <c r="I13" s="649">
        <f>'UAT8-Aug'!I13</f>
        <v>0.75</v>
      </c>
      <c r="J13" s="649">
        <f>'UAT8-Aug'!J13</f>
        <v>0.6</v>
      </c>
      <c r="K13" s="649">
        <f>'UAT8-Aug'!K13</f>
        <v>1</v>
      </c>
      <c r="L13" s="649">
        <f>'UAT8-Aug'!L13</f>
        <v>1</v>
      </c>
      <c r="M13" s="649">
        <f>'UAT8-Aug'!M13</f>
        <v>1</v>
      </c>
      <c r="N13" s="649">
        <f>'UAT8-Aug'!N13</f>
        <v>1</v>
      </c>
      <c r="O13" s="649">
        <f>'UAT8-Aug'!O13</f>
        <v>0.75</v>
      </c>
      <c r="P13" s="336"/>
      <c r="Q13" s="20"/>
      <c r="R13" s="20"/>
      <c r="S13" s="20"/>
      <c r="T13" s="20"/>
      <c r="U13" s="20"/>
      <c r="V13" s="23"/>
      <c r="W13" s="19"/>
      <c r="X13" s="19"/>
      <c r="Y13" s="19"/>
      <c r="Z13" s="19"/>
      <c r="AA13" s="19"/>
      <c r="AB13" s="19"/>
      <c r="AC13" s="31"/>
    </row>
    <row r="14" spans="1:29">
      <c r="A14" s="417" t="s">
        <v>479</v>
      </c>
      <c r="B14" s="332">
        <f t="shared" ref="B14:O14" si="0">NETWORKDAYS(B10,$A$6)</f>
        <v>21</v>
      </c>
      <c r="C14" s="332">
        <f t="shared" si="0"/>
        <v>21</v>
      </c>
      <c r="D14" s="332"/>
      <c r="E14" s="332">
        <f t="shared" si="0"/>
        <v>21</v>
      </c>
      <c r="F14" s="332">
        <f t="shared" si="0"/>
        <v>21</v>
      </c>
      <c r="G14" s="332">
        <f t="shared" si="0"/>
        <v>21</v>
      </c>
      <c r="H14" s="332">
        <f t="shared" si="0"/>
        <v>21</v>
      </c>
      <c r="I14" s="332">
        <f t="shared" si="0"/>
        <v>21</v>
      </c>
      <c r="J14" s="332">
        <f t="shared" si="0"/>
        <v>21</v>
      </c>
      <c r="K14" s="332">
        <f t="shared" si="0"/>
        <v>21</v>
      </c>
      <c r="L14" s="332">
        <f t="shared" si="0"/>
        <v>21</v>
      </c>
      <c r="M14" s="332">
        <f t="shared" si="0"/>
        <v>21</v>
      </c>
      <c r="N14" s="332">
        <f t="shared" si="0"/>
        <v>21</v>
      </c>
      <c r="O14" s="332">
        <f t="shared" si="0"/>
        <v>21</v>
      </c>
      <c r="P14" s="336"/>
      <c r="Q14" s="20"/>
      <c r="R14" s="20"/>
      <c r="S14" s="20"/>
      <c r="T14" s="20"/>
      <c r="U14" s="20"/>
      <c r="V14" s="23"/>
      <c r="W14" s="19"/>
      <c r="X14" s="19"/>
      <c r="Y14" s="19"/>
      <c r="Z14" s="19"/>
      <c r="AA14" s="19"/>
      <c r="AB14" s="19"/>
      <c r="AC14" s="31"/>
    </row>
    <row r="15" spans="1:29">
      <c r="A15" s="417" t="s">
        <v>793</v>
      </c>
      <c r="B15" s="332">
        <f>'UAT8-Aug'!B15-(SUM(B141:B151)/(8*B13))</f>
        <v>6</v>
      </c>
      <c r="C15" s="332">
        <f>'UAT8-Aug'!C15-(SUM(C141:C151)/(8*C13))</f>
        <v>18.444444444444443</v>
      </c>
      <c r="D15" s="332"/>
      <c r="E15" s="332">
        <f>'UAT8-Aug'!E15-(SUM(E141:E151)/(8*E13))</f>
        <v>7</v>
      </c>
      <c r="F15" s="332">
        <f>'UAT8-Aug'!F15-(SUM(F141:F151)/(8*F13))</f>
        <v>22</v>
      </c>
      <c r="G15" s="332">
        <f>'UAT8-Aug'!G15-(SUM(G141:G151)/(8*G13))</f>
        <v>22</v>
      </c>
      <c r="H15" s="332">
        <f>'UAT8-Aug'!H15-(SUM(H141:H151)/(8*H13))</f>
        <v>17</v>
      </c>
      <c r="I15" s="332">
        <f>'UAT8-Aug'!I15-(SUM(I141:I151)/(8*I13))</f>
        <v>22</v>
      </c>
      <c r="J15" s="332">
        <f>'UAT8-Aug'!J15-(SUM(J141:J151)/(8*J13))</f>
        <v>22</v>
      </c>
      <c r="K15" s="332">
        <f>'UAT8-Aug'!K15-(SUM(K141:K151)/(8*K13))</f>
        <v>14</v>
      </c>
      <c r="L15" s="332">
        <f>'UAT8-Aug'!L15-(SUM(L141:L151)/(8*L13))</f>
        <v>11</v>
      </c>
      <c r="M15" s="332">
        <f>'UAT8-Aug'!M15-(SUM(M141:M151)/(8*M13))</f>
        <v>22</v>
      </c>
      <c r="N15" s="332">
        <f>'UAT8-Aug'!N15-(SUM(N141:N151)/(8*N13))</f>
        <v>1</v>
      </c>
      <c r="O15" s="332">
        <f>'UAT8-Aug'!O15-(SUM(O141:O151)/(8*O13))</f>
        <v>10</v>
      </c>
      <c r="P15" s="336"/>
      <c r="Q15" s="20"/>
      <c r="R15" s="20"/>
      <c r="S15" s="20"/>
      <c r="T15" s="20"/>
      <c r="U15" s="20"/>
      <c r="V15" s="23"/>
      <c r="W15" s="19"/>
      <c r="X15" s="19"/>
      <c r="Y15" s="19"/>
      <c r="Z15" s="19"/>
      <c r="AA15" s="19"/>
      <c r="AB15" s="19"/>
      <c r="AC15" s="31"/>
    </row>
    <row r="16" spans="1:29">
      <c r="A16" s="417" t="s">
        <v>632</v>
      </c>
      <c r="B16" s="332">
        <f>NETWORKDAYS(EOMONTH($A$6,-1)+1,EOMONTH($A$6,0))</f>
        <v>21</v>
      </c>
      <c r="C16" s="332">
        <f t="shared" ref="C16:O16" si="1">NETWORKDAYS(EOMONTH($A$6,-1)+1,EOMONTH($A$6,0))</f>
        <v>21</v>
      </c>
      <c r="D16" s="332"/>
      <c r="E16" s="332">
        <f t="shared" si="1"/>
        <v>21</v>
      </c>
      <c r="F16" s="332">
        <f t="shared" si="1"/>
        <v>21</v>
      </c>
      <c r="G16" s="332">
        <f t="shared" si="1"/>
        <v>21</v>
      </c>
      <c r="H16" s="332">
        <f t="shared" si="1"/>
        <v>21</v>
      </c>
      <c r="I16" s="332">
        <f t="shared" si="1"/>
        <v>21</v>
      </c>
      <c r="J16" s="332">
        <f t="shared" si="1"/>
        <v>21</v>
      </c>
      <c r="K16" s="332">
        <f t="shared" si="1"/>
        <v>21</v>
      </c>
      <c r="L16" s="332">
        <f t="shared" si="1"/>
        <v>21</v>
      </c>
      <c r="M16" s="332">
        <f t="shared" si="1"/>
        <v>21</v>
      </c>
      <c r="N16" s="332">
        <f t="shared" si="1"/>
        <v>21</v>
      </c>
      <c r="O16" s="332">
        <f t="shared" si="1"/>
        <v>21</v>
      </c>
      <c r="P16" s="336"/>
      <c r="Q16" s="20"/>
      <c r="R16" s="20"/>
      <c r="S16" s="20"/>
      <c r="T16" s="20"/>
      <c r="U16" s="20"/>
      <c r="V16" s="23"/>
      <c r="W16" s="19"/>
      <c r="X16" s="19"/>
      <c r="Y16" s="19"/>
      <c r="Z16" s="19"/>
      <c r="AA16" s="19"/>
      <c r="AB16" s="19"/>
      <c r="AC16" s="31"/>
    </row>
    <row r="17" spans="1:29">
      <c r="A17" s="417" t="s">
        <v>511</v>
      </c>
      <c r="B17" s="329">
        <f>_xlfn.DAYS($A$6,B10)+1</f>
        <v>30</v>
      </c>
      <c r="C17" s="329">
        <f t="shared" ref="C17:O17" si="2">_xlfn.DAYS($A$6,C10)+1</f>
        <v>30</v>
      </c>
      <c r="D17" s="329"/>
      <c r="E17" s="329">
        <f t="shared" si="2"/>
        <v>30</v>
      </c>
      <c r="F17" s="329">
        <f t="shared" si="2"/>
        <v>30</v>
      </c>
      <c r="G17" s="329">
        <f t="shared" si="2"/>
        <v>30</v>
      </c>
      <c r="H17" s="329">
        <f t="shared" si="2"/>
        <v>30</v>
      </c>
      <c r="I17" s="329">
        <f t="shared" si="2"/>
        <v>30</v>
      </c>
      <c r="J17" s="329">
        <f t="shared" si="2"/>
        <v>30</v>
      </c>
      <c r="K17" s="329">
        <f t="shared" si="2"/>
        <v>30</v>
      </c>
      <c r="L17" s="329">
        <f t="shared" si="2"/>
        <v>30</v>
      </c>
      <c r="M17" s="329">
        <f t="shared" si="2"/>
        <v>30</v>
      </c>
      <c r="N17" s="329">
        <f t="shared" si="2"/>
        <v>30</v>
      </c>
      <c r="O17" s="329">
        <f t="shared" si="2"/>
        <v>30</v>
      </c>
      <c r="P17" s="336"/>
      <c r="Q17" s="20"/>
      <c r="R17" s="20"/>
      <c r="S17" s="20"/>
      <c r="T17" s="20"/>
      <c r="U17" s="20"/>
      <c r="V17" s="23"/>
      <c r="W17" s="19"/>
      <c r="X17" s="19"/>
      <c r="Y17" s="19"/>
      <c r="Z17" s="19"/>
      <c r="AA17" s="19"/>
      <c r="AB17" s="19"/>
      <c r="AC17" s="31"/>
    </row>
    <row r="18" spans="1:29">
      <c r="A18" s="417" t="s">
        <v>531</v>
      </c>
      <c r="B18" s="331">
        <f>DATEDIF('New Hire'!C41,$A$6,"Y")</f>
        <v>10</v>
      </c>
      <c r="C18" s="331">
        <f>DATEDIF('New Hire'!D41,$A$6,"Y")</f>
        <v>13</v>
      </c>
      <c r="D18" s="331"/>
      <c r="E18" s="331">
        <f>DATEDIF('New Hire'!F41,$A$6,"Y")</f>
        <v>4</v>
      </c>
      <c r="F18" s="331">
        <f>DATEDIF('New Hire'!G41,$A$6,"Y")</f>
        <v>10</v>
      </c>
      <c r="G18" s="331">
        <f>DATEDIF('New Hire'!H41,$A$6,"Y")</f>
        <v>0</v>
      </c>
      <c r="H18" s="331">
        <f>DATEDIF('New Hire'!I41,$A$6,"Y")</f>
        <v>15</v>
      </c>
      <c r="I18" s="331">
        <f>DATEDIF('New Hire'!J41,$A$6,"Y")</f>
        <v>0</v>
      </c>
      <c r="J18" s="331">
        <f>DATEDIF('New Hire'!K41,$A$6,"Y")</f>
        <v>0</v>
      </c>
      <c r="K18" s="331">
        <f>DATEDIF('New Hire'!L41,$A$6,"Y")</f>
        <v>10</v>
      </c>
      <c r="L18" s="331">
        <f>DATEDIF('New Hire'!M41,$A$6,"Y")</f>
        <v>5</v>
      </c>
      <c r="M18" s="331">
        <f>DATEDIF('New Hire'!N41,$A$6,"Y")</f>
        <v>0</v>
      </c>
      <c r="N18" s="331">
        <f>DATEDIF('New Hire'!O41,$A$6,"Y")</f>
        <v>11</v>
      </c>
      <c r="O18" s="331">
        <f>DATEDIF('New Hire'!P41,$A$6,"Y")</f>
        <v>0</v>
      </c>
      <c r="P18" s="336"/>
      <c r="Q18" s="20"/>
      <c r="R18" s="20"/>
      <c r="S18" s="20"/>
      <c r="T18" s="20"/>
      <c r="U18" s="20"/>
      <c r="V18" s="23"/>
      <c r="W18" s="19"/>
      <c r="X18" s="19"/>
      <c r="Y18" s="19"/>
      <c r="Z18" s="19"/>
      <c r="AA18" s="19"/>
      <c r="AB18" s="19"/>
      <c r="AC18" s="31"/>
    </row>
    <row r="19" spans="1:29">
      <c r="A19" s="417" t="s">
        <v>563</v>
      </c>
      <c r="B19" s="331" t="str">
        <f>'New Hire'!C52</f>
        <v>A</v>
      </c>
      <c r="C19" s="331" t="str">
        <f>'New Hire'!D52</f>
        <v>A</v>
      </c>
      <c r="D19" s="331"/>
      <c r="E19" s="331" t="str">
        <f>'New Hire'!F52</f>
        <v>B</v>
      </c>
      <c r="F19" s="331" t="str">
        <f>'New Hire'!G52</f>
        <v>B</v>
      </c>
      <c r="G19" s="331" t="str">
        <f>'New Hire'!H52</f>
        <v>C</v>
      </c>
      <c r="H19" s="331" t="str">
        <f>'New Hire'!I52</f>
        <v>D</v>
      </c>
      <c r="I19" s="331" t="str">
        <f>'New Hire'!J52</f>
        <v>D</v>
      </c>
      <c r="J19" s="331" t="str">
        <f>'New Hire'!K52</f>
        <v>A</v>
      </c>
      <c r="K19" s="331" t="str">
        <f>'New Hire'!L52</f>
        <v>A</v>
      </c>
      <c r="L19" s="331" t="str">
        <f>'New Hire'!M52</f>
        <v>A</v>
      </c>
      <c r="M19" s="331" t="str">
        <f>'New Hire'!N52</f>
        <v>A</v>
      </c>
      <c r="N19" s="331" t="str">
        <f>'New Hire'!O52</f>
        <v>A</v>
      </c>
      <c r="O19" s="331" t="str">
        <f>'New Hire'!P52</f>
        <v>B</v>
      </c>
      <c r="P19" s="336"/>
      <c r="Q19" s="20"/>
      <c r="R19" s="20"/>
      <c r="S19" s="20"/>
      <c r="T19" s="20"/>
      <c r="U19" s="20"/>
      <c r="V19" s="23"/>
      <c r="W19" s="19"/>
      <c r="X19" s="19"/>
      <c r="Y19" s="19"/>
      <c r="Z19" s="19"/>
      <c r="AA19" s="19"/>
      <c r="AB19" s="19"/>
      <c r="AC19" s="31"/>
    </row>
    <row r="20" spans="1:29">
      <c r="A20" s="449" t="s">
        <v>107</v>
      </c>
      <c r="B20" s="88">
        <v>1</v>
      </c>
      <c r="C20" s="88">
        <v>2</v>
      </c>
      <c r="D20" s="88"/>
      <c r="E20" s="88">
        <v>3</v>
      </c>
      <c r="F20" s="88">
        <v>0</v>
      </c>
      <c r="G20" s="88">
        <v>0</v>
      </c>
      <c r="H20" s="88">
        <v>2</v>
      </c>
      <c r="I20" s="88">
        <v>0</v>
      </c>
      <c r="J20" s="88">
        <v>0</v>
      </c>
      <c r="K20" s="88">
        <v>0</v>
      </c>
      <c r="L20" s="88">
        <v>0</v>
      </c>
      <c r="M20" s="88">
        <v>0</v>
      </c>
      <c r="N20" s="88">
        <v>0</v>
      </c>
      <c r="O20" s="88">
        <v>0</v>
      </c>
      <c r="P20" s="336"/>
      <c r="Q20" s="20"/>
      <c r="R20" s="20"/>
      <c r="S20" s="20"/>
      <c r="T20" s="20"/>
      <c r="U20" s="20"/>
      <c r="V20" s="23"/>
      <c r="W20" s="19"/>
      <c r="X20" s="19"/>
      <c r="Y20" s="19"/>
      <c r="Z20" s="19"/>
      <c r="AA20" s="19"/>
      <c r="AB20" s="19"/>
      <c r="AC20" s="31"/>
    </row>
    <row r="21" spans="1:29">
      <c r="A21" s="450" t="s">
        <v>113</v>
      </c>
      <c r="B21" s="89">
        <f>IF(OR(B19="A",B19="C"),3600000*B20,0)</f>
        <v>3600000</v>
      </c>
      <c r="C21" s="89">
        <f t="shared" ref="C21:O21" si="3">IF(OR(C19="A",C19="C"),3600000*C20,0)</f>
        <v>7200000</v>
      </c>
      <c r="D21" s="89">
        <f t="shared" si="3"/>
        <v>0</v>
      </c>
      <c r="E21" s="89">
        <f t="shared" si="3"/>
        <v>0</v>
      </c>
      <c r="F21" s="89">
        <f t="shared" si="3"/>
        <v>0</v>
      </c>
      <c r="G21" s="89">
        <f t="shared" si="3"/>
        <v>0</v>
      </c>
      <c r="H21" s="89">
        <f t="shared" si="3"/>
        <v>0</v>
      </c>
      <c r="I21" s="89">
        <f t="shared" si="3"/>
        <v>0</v>
      </c>
      <c r="J21" s="89">
        <f t="shared" si="3"/>
        <v>0</v>
      </c>
      <c r="K21" s="89">
        <f t="shared" si="3"/>
        <v>0</v>
      </c>
      <c r="L21" s="89">
        <f t="shared" si="3"/>
        <v>0</v>
      </c>
      <c r="M21" s="89">
        <f t="shared" si="3"/>
        <v>0</v>
      </c>
      <c r="N21" s="89">
        <f t="shared" si="3"/>
        <v>0</v>
      </c>
      <c r="O21" s="89">
        <f t="shared" si="3"/>
        <v>0</v>
      </c>
      <c r="P21" s="589">
        <f>SUM(B21:O21)</f>
        <v>10800000</v>
      </c>
      <c r="Q21" s="20"/>
      <c r="R21" s="20"/>
      <c r="S21" s="20"/>
      <c r="T21" s="20"/>
      <c r="U21" s="20"/>
      <c r="V21" s="23"/>
      <c r="W21" s="19"/>
      <c r="X21" s="19"/>
      <c r="Y21" s="19"/>
      <c r="Z21" s="19"/>
      <c r="AA21" s="19"/>
      <c r="AB21" s="19"/>
      <c r="AC21" s="31"/>
    </row>
    <row r="22" spans="1:29" ht="15.6">
      <c r="A22" s="450" t="s">
        <v>114</v>
      </c>
      <c r="B22" s="89">
        <f>IF(OR(B19="A",B19="C"),9000000,0)</f>
        <v>9000000</v>
      </c>
      <c r="C22" s="89">
        <f t="shared" ref="C22:O22" si="4">IF(OR(C19="A",C19="C"),9000000,0)</f>
        <v>9000000</v>
      </c>
      <c r="D22" s="89">
        <f t="shared" si="4"/>
        <v>0</v>
      </c>
      <c r="E22" s="89">
        <f t="shared" si="4"/>
        <v>0</v>
      </c>
      <c r="F22" s="89">
        <f t="shared" si="4"/>
        <v>0</v>
      </c>
      <c r="G22" s="89">
        <f t="shared" si="4"/>
        <v>9000000</v>
      </c>
      <c r="H22" s="89">
        <f t="shared" si="4"/>
        <v>0</v>
      </c>
      <c r="I22" s="89">
        <f t="shared" si="4"/>
        <v>0</v>
      </c>
      <c r="J22" s="89">
        <f t="shared" si="4"/>
        <v>9000000</v>
      </c>
      <c r="K22" s="89">
        <f t="shared" si="4"/>
        <v>9000000</v>
      </c>
      <c r="L22" s="89">
        <f t="shared" si="4"/>
        <v>9000000</v>
      </c>
      <c r="M22" s="89">
        <f t="shared" si="4"/>
        <v>9000000</v>
      </c>
      <c r="N22" s="89">
        <f t="shared" si="4"/>
        <v>9000000</v>
      </c>
      <c r="O22" s="89">
        <f t="shared" si="4"/>
        <v>0</v>
      </c>
      <c r="P22" s="589">
        <f>SUM(B22:O22)</f>
        <v>72000000</v>
      </c>
      <c r="Q22" s="66"/>
      <c r="R22" s="66"/>
      <c r="S22" s="66"/>
      <c r="T22" s="66"/>
      <c r="U22" s="66"/>
      <c r="V22" s="40"/>
      <c r="W22" s="41"/>
      <c r="X22" s="19"/>
      <c r="Y22" s="19"/>
      <c r="Z22" s="19"/>
      <c r="AA22" s="19"/>
      <c r="AB22" s="16"/>
      <c r="AC22" s="17"/>
    </row>
    <row r="23" spans="1:29" ht="15.6">
      <c r="A23" s="700" t="s">
        <v>53</v>
      </c>
      <c r="B23" s="65"/>
      <c r="C23" s="65"/>
      <c r="D23" s="65"/>
      <c r="E23" s="66"/>
      <c r="F23" s="65"/>
      <c r="G23" s="65"/>
      <c r="H23" s="21"/>
      <c r="I23" s="65"/>
      <c r="J23" s="65"/>
      <c r="K23" s="66"/>
      <c r="L23" s="66"/>
      <c r="M23" s="66"/>
      <c r="N23" s="66"/>
      <c r="O23" s="66"/>
      <c r="P23" s="337"/>
      <c r="Q23" s="66"/>
      <c r="R23" s="66"/>
      <c r="S23" s="66"/>
      <c r="T23" s="66"/>
      <c r="U23" s="66"/>
      <c r="V23" s="50"/>
      <c r="W23" s="44"/>
      <c r="X23" s="44"/>
      <c r="Y23" s="44"/>
      <c r="Z23" s="44"/>
      <c r="AA23" s="44"/>
      <c r="AB23" s="44"/>
      <c r="AC23" s="51"/>
    </row>
    <row r="24" spans="1:29">
      <c r="A24" s="701" t="s">
        <v>55</v>
      </c>
      <c r="B24" s="65"/>
      <c r="C24" s="65"/>
      <c r="D24" s="65"/>
      <c r="E24" s="66"/>
      <c r="F24" s="65"/>
      <c r="G24" s="65"/>
      <c r="H24" s="21"/>
      <c r="I24" s="65"/>
      <c r="J24" s="65"/>
      <c r="K24" s="66"/>
      <c r="L24" s="66"/>
      <c r="M24" s="66"/>
      <c r="N24" s="66"/>
      <c r="O24" s="376"/>
      <c r="P24" s="376"/>
      <c r="Q24" s="66"/>
      <c r="R24" s="66"/>
      <c r="S24" s="66"/>
      <c r="T24" s="66"/>
      <c r="U24" s="66"/>
      <c r="V24" s="112" t="s">
        <v>57</v>
      </c>
      <c r="W24" s="113" t="s">
        <v>67</v>
      </c>
      <c r="X24" s="113" t="s">
        <v>69</v>
      </c>
      <c r="Y24" s="113" t="s">
        <v>70</v>
      </c>
      <c r="Z24" s="113" t="s">
        <v>56</v>
      </c>
      <c r="AA24" s="113" t="s">
        <v>54</v>
      </c>
      <c r="AB24" s="113" t="s">
        <v>58</v>
      </c>
      <c r="AC24" s="114" t="s">
        <v>59</v>
      </c>
    </row>
    <row r="25" spans="1:29">
      <c r="A25" s="436" t="s">
        <v>477</v>
      </c>
      <c r="B25" s="326">
        <f>ROUND(B178*B121,0)</f>
        <v>7000000</v>
      </c>
      <c r="C25" s="326">
        <f>ROUND(C178*C121,0)</f>
        <v>5580000</v>
      </c>
      <c r="D25" s="326">
        <f>ROUND(D178*D121,0)</f>
        <v>0</v>
      </c>
      <c r="E25" s="326">
        <f>ROUND(E178*E121,0)</f>
        <v>11000000</v>
      </c>
      <c r="F25" s="326">
        <f>ROUND(F178*F121,0)</f>
        <v>12800000</v>
      </c>
      <c r="G25" s="326">
        <f>ROUND(G178*G121,0)</f>
        <v>74256000</v>
      </c>
      <c r="H25" s="326">
        <f>ROUND(H178*H121,0)</f>
        <v>56852250</v>
      </c>
      <c r="I25" s="326">
        <f>ROUND(I178*I121,0)</f>
        <v>66134250</v>
      </c>
      <c r="J25" s="326">
        <f>ROUND(J178*J121,0)</f>
        <v>33000000</v>
      </c>
      <c r="K25" s="326">
        <f>ROUND(K178*K121,0)</f>
        <v>10000000</v>
      </c>
      <c r="L25" s="326">
        <f>ROUND(L178*L121,0)</f>
        <v>11500000</v>
      </c>
      <c r="M25" s="326">
        <f>ROUND(M178*M121,0)</f>
        <v>7000000</v>
      </c>
      <c r="N25" s="326">
        <f>ROUND(N178*N121,0)</f>
        <v>8000000</v>
      </c>
      <c r="O25" s="326">
        <f>ROUND(O178*O121,0)</f>
        <v>4500000</v>
      </c>
      <c r="P25" s="338">
        <f>SUM(B25:O25)</f>
        <v>307622500</v>
      </c>
      <c r="Q25" s="89" t="s">
        <v>523</v>
      </c>
      <c r="R25" s="89" t="s">
        <v>523</v>
      </c>
      <c r="S25" s="89" t="s">
        <v>523</v>
      </c>
      <c r="T25" s="89" t="s">
        <v>523</v>
      </c>
      <c r="U25" s="89" t="s">
        <v>523</v>
      </c>
      <c r="V25" s="350" t="s">
        <v>2</v>
      </c>
      <c r="W25" s="351">
        <v>91999901</v>
      </c>
      <c r="X25" s="352" t="s">
        <v>505</v>
      </c>
      <c r="Y25" s="352" t="s">
        <v>506</v>
      </c>
      <c r="Z25" s="353" t="s">
        <v>507</v>
      </c>
      <c r="AA25" s="354">
        <v>8000000</v>
      </c>
      <c r="AB25" s="352"/>
      <c r="AC25" s="355"/>
    </row>
    <row r="26" spans="1:29">
      <c r="A26" s="442" t="s">
        <v>494</v>
      </c>
      <c r="B26" s="326">
        <f>ROUND(B166*B121,0)</f>
        <v>700000</v>
      </c>
      <c r="C26" s="326">
        <f>ROUND(C166*C121,0)</f>
        <v>558000</v>
      </c>
      <c r="D26" s="326">
        <f>ROUND(D166*D121,0)</f>
        <v>0</v>
      </c>
      <c r="E26" s="326">
        <f>ROUND(E166*E121,0)</f>
        <v>0</v>
      </c>
      <c r="F26" s="326">
        <f>ROUND(F166*F121,0)</f>
        <v>0</v>
      </c>
      <c r="G26" s="326">
        <f>ROUND(G166*G121,0)</f>
        <v>0</v>
      </c>
      <c r="H26" s="326">
        <f>ROUND(H166*H121,0)</f>
        <v>6381375</v>
      </c>
      <c r="I26" s="326">
        <f>ROUND(I166*I121,0)</f>
        <v>0</v>
      </c>
      <c r="J26" s="326">
        <f>ROUND(J166*J121,0)</f>
        <v>3300000</v>
      </c>
      <c r="K26" s="326">
        <f>ROUND(K166*K121,0)</f>
        <v>1000000</v>
      </c>
      <c r="L26" s="326">
        <f>ROUND(L166*L121,0)</f>
        <v>0</v>
      </c>
      <c r="M26" s="326">
        <f>ROUND(M166*M121,0)</f>
        <v>1400000</v>
      </c>
      <c r="N26" s="326">
        <f>ROUND(N166*N121,0)</f>
        <v>1200000</v>
      </c>
      <c r="O26" s="326">
        <f>ROUND(O166*O121,0)</f>
        <v>0</v>
      </c>
      <c r="P26" s="338">
        <f>SUM(B26:O26)</f>
        <v>14539375</v>
      </c>
      <c r="Q26" s="373" t="s">
        <v>523</v>
      </c>
      <c r="R26" s="373" t="s">
        <v>523</v>
      </c>
      <c r="S26" s="373" t="s">
        <v>523</v>
      </c>
      <c r="T26" s="373" t="s">
        <v>523</v>
      </c>
      <c r="U26" s="89" t="s">
        <v>523</v>
      </c>
      <c r="V26" s="350" t="s">
        <v>2</v>
      </c>
      <c r="W26" s="351">
        <v>91999902</v>
      </c>
      <c r="X26" s="352" t="s">
        <v>505</v>
      </c>
      <c r="Y26" s="352" t="s">
        <v>506</v>
      </c>
      <c r="Z26" s="353" t="s">
        <v>507</v>
      </c>
      <c r="AA26" s="354">
        <v>8000000</v>
      </c>
      <c r="AB26" s="352"/>
      <c r="AC26" s="355"/>
    </row>
    <row r="27" spans="1:29">
      <c r="A27" s="442" t="s">
        <v>566</v>
      </c>
      <c r="B27" s="326">
        <f>ROUND(B167*B121,0)</f>
        <v>1400000</v>
      </c>
      <c r="C27" s="326">
        <f>ROUND(C167*C121,0)</f>
        <v>1116000</v>
      </c>
      <c r="D27" s="326">
        <f>ROUND(D167*D121,0)</f>
        <v>0</v>
      </c>
      <c r="E27" s="326">
        <f>ROUND(E167*E121,0)</f>
        <v>0</v>
      </c>
      <c r="F27" s="326">
        <f>ROUND(F167*F121,0)</f>
        <v>0</v>
      </c>
      <c r="G27" s="326">
        <f>ROUND(G167*G121,0)</f>
        <v>0</v>
      </c>
      <c r="H27" s="326">
        <f>ROUND(H167*H121,0)</f>
        <v>12762750</v>
      </c>
      <c r="I27" s="326">
        <f>ROUND(I167*I121,0)</f>
        <v>0</v>
      </c>
      <c r="J27" s="326">
        <f>ROUND(J167*J121,0)</f>
        <v>6600000</v>
      </c>
      <c r="K27" s="326">
        <f>ROUND(K167*K121,0)</f>
        <v>2000000</v>
      </c>
      <c r="L27" s="326">
        <f>ROUND(L167*L121,0)</f>
        <v>0</v>
      </c>
      <c r="M27" s="326">
        <f>ROUND(M167*M121,0)</f>
        <v>2100000</v>
      </c>
      <c r="N27" s="326">
        <f>ROUND(N167*N121,0)</f>
        <v>1650000</v>
      </c>
      <c r="O27" s="326">
        <f>ROUND(O167*O121,0)</f>
        <v>0</v>
      </c>
      <c r="P27" s="338">
        <f>SUM(B27:O27)</f>
        <v>27628750</v>
      </c>
      <c r="Q27" s="373" t="s">
        <v>523</v>
      </c>
      <c r="R27" s="373" t="s">
        <v>523</v>
      </c>
      <c r="S27" s="373" t="s">
        <v>523</v>
      </c>
      <c r="T27" s="373" t="s">
        <v>523</v>
      </c>
      <c r="U27" s="89" t="s">
        <v>523</v>
      </c>
      <c r="V27" s="350" t="s">
        <v>2</v>
      </c>
      <c r="W27" s="351">
        <v>91999904</v>
      </c>
      <c r="X27" s="352" t="s">
        <v>509</v>
      </c>
      <c r="Y27" s="352" t="s">
        <v>506</v>
      </c>
      <c r="Z27" s="353" t="s">
        <v>507</v>
      </c>
      <c r="AA27" s="354">
        <v>8000000</v>
      </c>
      <c r="AB27" s="352"/>
      <c r="AC27" s="355"/>
    </row>
    <row r="28" spans="1:29">
      <c r="A28" s="483" t="s">
        <v>1416</v>
      </c>
      <c r="B28" s="484"/>
      <c r="C28" s="484"/>
      <c r="D28" s="484"/>
      <c r="E28" s="484"/>
      <c r="F28" s="484"/>
      <c r="G28" s="484"/>
      <c r="H28" s="484"/>
      <c r="I28" s="484"/>
      <c r="J28" s="484"/>
      <c r="K28" s="484"/>
      <c r="L28" s="484"/>
      <c r="M28" s="484">
        <f>M88</f>
        <v>1211550</v>
      </c>
      <c r="N28" s="484"/>
      <c r="O28" s="485"/>
      <c r="P28" s="486">
        <f>SUM(B28:O28)</f>
        <v>1211550</v>
      </c>
      <c r="Q28" s="501" t="s">
        <v>591</v>
      </c>
      <c r="R28" s="501" t="s">
        <v>591</v>
      </c>
      <c r="S28" s="502"/>
      <c r="T28" s="503"/>
      <c r="U28" s="503"/>
      <c r="V28" s="350" t="s">
        <v>2</v>
      </c>
      <c r="W28" s="351">
        <v>91999905</v>
      </c>
      <c r="X28" s="352" t="s">
        <v>505</v>
      </c>
      <c r="Y28" s="352" t="s">
        <v>506</v>
      </c>
      <c r="Z28" s="353" t="s">
        <v>507</v>
      </c>
      <c r="AA28" s="354">
        <v>8000000</v>
      </c>
      <c r="AB28" s="352"/>
      <c r="AC28" s="355"/>
    </row>
    <row r="29" spans="1:29">
      <c r="A29" s="509" t="s">
        <v>1417</v>
      </c>
      <c r="B29" s="484"/>
      <c r="C29" s="484"/>
      <c r="D29" s="484"/>
      <c r="E29" s="484"/>
      <c r="F29" s="484"/>
      <c r="G29" s="484"/>
      <c r="H29" s="484"/>
      <c r="I29" s="484"/>
      <c r="J29" s="484"/>
      <c r="K29" s="484"/>
      <c r="L29" s="484"/>
      <c r="M29" s="484">
        <f>M89</f>
        <v>1211550</v>
      </c>
      <c r="N29" s="484"/>
      <c r="O29" s="485"/>
      <c r="P29" s="486">
        <f>SUM(B29:O29)</f>
        <v>1211550</v>
      </c>
      <c r="Q29" s="501" t="s">
        <v>591</v>
      </c>
      <c r="R29" s="501"/>
      <c r="S29" s="504"/>
      <c r="T29" s="504"/>
      <c r="U29" s="504"/>
      <c r="V29" s="350" t="s">
        <v>2</v>
      </c>
      <c r="W29" s="351">
        <v>91999906</v>
      </c>
      <c r="X29" s="352" t="s">
        <v>505</v>
      </c>
      <c r="Y29" s="352" t="s">
        <v>506</v>
      </c>
      <c r="Z29" s="353" t="s">
        <v>507</v>
      </c>
      <c r="AA29" s="354">
        <v>8000000</v>
      </c>
      <c r="AB29" s="352"/>
      <c r="AC29" s="355"/>
    </row>
    <row r="30" spans="1:29">
      <c r="A30" s="416" t="s">
        <v>493</v>
      </c>
      <c r="B30" s="443">
        <f>ROUND(B168*B121,0)</f>
        <v>3000000</v>
      </c>
      <c r="C30" s="443">
        <f>ROUND(C168*C121,0)</f>
        <v>2700000</v>
      </c>
      <c r="D30" s="443"/>
      <c r="E30" s="443">
        <f>ROUND(E168*E121,0)</f>
        <v>3000000</v>
      </c>
      <c r="F30" s="443">
        <f>ROUND(F168*F121,0)</f>
        <v>2400000</v>
      </c>
      <c r="G30" s="443">
        <f>ROUND(G168*G121,0)</f>
        <v>0</v>
      </c>
      <c r="H30" s="443">
        <f>ROUND(H168*H121,0)</f>
        <v>0</v>
      </c>
      <c r="I30" s="443">
        <f>ROUND(I168*I121,0)</f>
        <v>0</v>
      </c>
      <c r="J30" s="443">
        <f>ROUND(J168*J121,0)</f>
        <v>1800000</v>
      </c>
      <c r="K30" s="443">
        <f>ROUND(K168*K121,0)</f>
        <v>3000000</v>
      </c>
      <c r="L30" s="443">
        <f>ROUND(L168*L121,0)</f>
        <v>3000000</v>
      </c>
      <c r="M30" s="443">
        <f>ROUND(M168*M121,0)</f>
        <v>3000000</v>
      </c>
      <c r="N30" s="443">
        <f>ROUND(N168*N121,0)</f>
        <v>3000000</v>
      </c>
      <c r="O30" s="334">
        <f>ROUND(O168*O121,0)</f>
        <v>0</v>
      </c>
      <c r="P30" s="697">
        <f t="shared" ref="P30:P40" si="5">SUM(B30:O30)</f>
        <v>24900000</v>
      </c>
      <c r="Q30" s="373" t="s">
        <v>525</v>
      </c>
      <c r="R30" s="373" t="s">
        <v>565</v>
      </c>
      <c r="S30" s="373"/>
      <c r="T30" s="373"/>
      <c r="U30" s="373"/>
      <c r="V30" s="350" t="s">
        <v>2</v>
      </c>
      <c r="W30" s="351">
        <v>91999907</v>
      </c>
      <c r="X30" s="352" t="s">
        <v>505</v>
      </c>
      <c r="Y30" s="352" t="s">
        <v>506</v>
      </c>
      <c r="Z30" s="353" t="s">
        <v>535</v>
      </c>
      <c r="AA30" s="354">
        <v>7000000</v>
      </c>
      <c r="AB30" s="352"/>
      <c r="AC30" s="355"/>
    </row>
    <row r="31" spans="1:29">
      <c r="A31" s="405" t="s">
        <v>528</v>
      </c>
      <c r="B31" s="443">
        <f>ROUND(B169*B121,0)</f>
        <v>3500000</v>
      </c>
      <c r="C31" s="443">
        <f>ROUND(C169*C121,0)</f>
        <v>3150000</v>
      </c>
      <c r="D31" s="443">
        <f>ROUND(D169*D121,0)</f>
        <v>0</v>
      </c>
      <c r="E31" s="443">
        <f>ROUND(E169*E121,0)</f>
        <v>3500000</v>
      </c>
      <c r="F31" s="443">
        <f>ROUND(F169*F121,0)</f>
        <v>2800000</v>
      </c>
      <c r="G31" s="443">
        <f>ROUND(G169*G121,0)</f>
        <v>0</v>
      </c>
      <c r="H31" s="443">
        <f>ROUND(H169*H121,0)</f>
        <v>2320500</v>
      </c>
      <c r="I31" s="443">
        <f>ROUND(I169*I121,0)</f>
        <v>3480750</v>
      </c>
      <c r="J31" s="443">
        <f>ROUND(J169*J121,0)</f>
        <v>2100000</v>
      </c>
      <c r="K31" s="443">
        <f>ROUND(K169*K121,0)</f>
        <v>3500000</v>
      </c>
      <c r="L31" s="443">
        <f>ROUND(L169*L121,0)</f>
        <v>3500000</v>
      </c>
      <c r="M31" s="443">
        <f>ROUND(M169*M121,0)</f>
        <v>3500000</v>
      </c>
      <c r="N31" s="443">
        <f>ROUND(N169*N121,0)</f>
        <v>3500000</v>
      </c>
      <c r="O31" s="443">
        <f>ROUND(O169*O121,0)</f>
        <v>0</v>
      </c>
      <c r="P31" s="697">
        <f t="shared" si="5"/>
        <v>34851250</v>
      </c>
      <c r="Q31" s="89" t="s">
        <v>523</v>
      </c>
      <c r="R31" s="89" t="s">
        <v>523</v>
      </c>
      <c r="S31" s="89" t="s">
        <v>523</v>
      </c>
      <c r="T31" s="89" t="s">
        <v>523</v>
      </c>
      <c r="U31" s="89" t="s">
        <v>523</v>
      </c>
      <c r="V31" s="350" t="s">
        <v>2</v>
      </c>
      <c r="W31" s="351">
        <v>91999907</v>
      </c>
      <c r="X31" s="352" t="s">
        <v>596</v>
      </c>
      <c r="Y31" s="352" t="s">
        <v>506</v>
      </c>
      <c r="Z31" s="353">
        <v>7065</v>
      </c>
      <c r="AA31" s="354">
        <v>100</v>
      </c>
      <c r="AB31" s="438" t="s">
        <v>539</v>
      </c>
      <c r="AC31" s="439"/>
    </row>
    <row r="32" spans="1:29">
      <c r="A32" s="408" t="s">
        <v>497</v>
      </c>
      <c r="B32" s="443">
        <f>ROUND(B172*B121,0)</f>
        <v>4000000</v>
      </c>
      <c r="C32" s="443">
        <f>ROUND(C172*C121,0)</f>
        <v>3600000</v>
      </c>
      <c r="D32" s="443">
        <f>ROUND(D172*D121,0)</f>
        <v>0</v>
      </c>
      <c r="E32" s="443">
        <f>ROUND(E172*E121,0)</f>
        <v>4000000</v>
      </c>
      <c r="F32" s="443">
        <f>ROUND(F172*F121,0)</f>
        <v>3200000</v>
      </c>
      <c r="G32" s="443">
        <f>ROUND(G172*G121,0)</f>
        <v>0</v>
      </c>
      <c r="H32" s="443">
        <f>ROUND(H172*H121,0)</f>
        <v>2610563</v>
      </c>
      <c r="I32" s="443">
        <f>ROUND(I172*I121,0)</f>
        <v>3915844</v>
      </c>
      <c r="J32" s="443">
        <f>ROUND(J172*J121,0)</f>
        <v>2400000</v>
      </c>
      <c r="K32" s="443">
        <f>ROUND(K172*K121,0)</f>
        <v>4000000</v>
      </c>
      <c r="L32" s="443">
        <f>ROUND(L172*L121,0)</f>
        <v>4000000</v>
      </c>
      <c r="M32" s="443">
        <f>ROUND(M172*M121,0)</f>
        <v>4000000</v>
      </c>
      <c r="N32" s="443">
        <f>ROUND(N172*N121,0)</f>
        <v>4000000</v>
      </c>
      <c r="O32" s="443">
        <f>ROUND(O172*O121,0)</f>
        <v>0</v>
      </c>
      <c r="P32" s="697">
        <f t="shared" si="5"/>
        <v>39726407</v>
      </c>
      <c r="Q32" s="373" t="s">
        <v>525</v>
      </c>
      <c r="R32" s="373" t="s">
        <v>565</v>
      </c>
      <c r="S32" s="373"/>
      <c r="T32" s="373"/>
      <c r="U32" s="373"/>
      <c r="V32" s="350" t="s">
        <v>2</v>
      </c>
      <c r="W32" s="351">
        <v>91999908</v>
      </c>
      <c r="X32" s="352" t="s">
        <v>505</v>
      </c>
      <c r="Y32" s="352" t="s">
        <v>506</v>
      </c>
      <c r="Z32" s="353">
        <v>7065</v>
      </c>
      <c r="AA32" s="354">
        <v>100</v>
      </c>
      <c r="AB32" s="438" t="s">
        <v>539</v>
      </c>
      <c r="AC32" s="439"/>
    </row>
    <row r="33" spans="1:31">
      <c r="A33" s="408" t="s">
        <v>785</v>
      </c>
      <c r="B33" s="443">
        <f t="shared" ref="B33:O33" si="6">ROUND(300*$B$4*B90,0)</f>
        <v>0</v>
      </c>
      <c r="C33" s="443">
        <f t="shared" si="6"/>
        <v>0</v>
      </c>
      <c r="D33" s="443">
        <f t="shared" si="6"/>
        <v>0</v>
      </c>
      <c r="E33" s="443">
        <f t="shared" si="6"/>
        <v>0</v>
      </c>
      <c r="F33" s="443">
        <f t="shared" si="6"/>
        <v>0</v>
      </c>
      <c r="G33" s="443">
        <f t="shared" si="6"/>
        <v>0</v>
      </c>
      <c r="H33" s="443">
        <f t="shared" si="6"/>
        <v>0</v>
      </c>
      <c r="I33" s="443">
        <f t="shared" si="6"/>
        <v>0</v>
      </c>
      <c r="J33" s="443">
        <f t="shared" si="6"/>
        <v>0</v>
      </c>
      <c r="K33" s="443">
        <f t="shared" si="6"/>
        <v>0</v>
      </c>
      <c r="L33" s="443">
        <f t="shared" si="6"/>
        <v>6266046</v>
      </c>
      <c r="M33" s="443">
        <f t="shared" si="6"/>
        <v>0</v>
      </c>
      <c r="N33" s="443">
        <f t="shared" si="6"/>
        <v>0</v>
      </c>
      <c r="O33" s="443">
        <f t="shared" si="6"/>
        <v>0</v>
      </c>
      <c r="P33" s="697">
        <f t="shared" si="5"/>
        <v>6266046</v>
      </c>
      <c r="Q33" s="373" t="s">
        <v>523</v>
      </c>
      <c r="R33" s="373" t="s">
        <v>523</v>
      </c>
      <c r="S33" s="373"/>
      <c r="T33" s="373"/>
      <c r="U33" s="373"/>
      <c r="V33" s="350" t="s">
        <v>2</v>
      </c>
      <c r="W33" s="351">
        <v>91999907</v>
      </c>
      <c r="X33" s="352" t="s">
        <v>596</v>
      </c>
      <c r="Y33" s="352" t="s">
        <v>506</v>
      </c>
      <c r="Z33" s="353">
        <v>7070</v>
      </c>
      <c r="AA33" s="354">
        <v>200</v>
      </c>
      <c r="AB33" s="438" t="s">
        <v>539</v>
      </c>
      <c r="AC33" s="439"/>
    </row>
    <row r="34" spans="1:31">
      <c r="A34" s="408" t="s">
        <v>787</v>
      </c>
      <c r="B34" s="443">
        <f t="shared" ref="B34:O34" si="7">ROUND(1000*$B$4*B91,0)</f>
        <v>22912617</v>
      </c>
      <c r="C34" s="443">
        <f t="shared" si="7"/>
        <v>0</v>
      </c>
      <c r="D34" s="443">
        <f t="shared" si="7"/>
        <v>0</v>
      </c>
      <c r="E34" s="443">
        <f t="shared" si="7"/>
        <v>0</v>
      </c>
      <c r="F34" s="443">
        <f t="shared" si="7"/>
        <v>0</v>
      </c>
      <c r="G34" s="443">
        <f t="shared" si="7"/>
        <v>0</v>
      </c>
      <c r="H34" s="443">
        <f t="shared" si="7"/>
        <v>11572334</v>
      </c>
      <c r="I34" s="443">
        <f t="shared" si="7"/>
        <v>0</v>
      </c>
      <c r="J34" s="443">
        <f t="shared" si="7"/>
        <v>0</v>
      </c>
      <c r="K34" s="443">
        <f t="shared" si="7"/>
        <v>23193398</v>
      </c>
      <c r="L34" s="443">
        <f t="shared" si="7"/>
        <v>0</v>
      </c>
      <c r="M34" s="443">
        <f t="shared" si="7"/>
        <v>0</v>
      </c>
      <c r="N34" s="443">
        <f t="shared" si="7"/>
        <v>0</v>
      </c>
      <c r="O34" s="443">
        <f t="shared" si="7"/>
        <v>0</v>
      </c>
      <c r="P34" s="697">
        <f t="shared" si="5"/>
        <v>57678349</v>
      </c>
      <c r="Q34" s="373" t="s">
        <v>523</v>
      </c>
      <c r="R34" s="373" t="s">
        <v>523</v>
      </c>
      <c r="S34" s="373"/>
      <c r="T34" s="373"/>
      <c r="U34" s="373"/>
      <c r="V34" s="350" t="s">
        <v>2</v>
      </c>
      <c r="W34" s="351">
        <v>91999908</v>
      </c>
      <c r="X34" s="352" t="s">
        <v>505</v>
      </c>
      <c r="Y34" s="352" t="s">
        <v>506</v>
      </c>
      <c r="Z34" s="353">
        <v>7070</v>
      </c>
      <c r="AA34" s="354">
        <v>200</v>
      </c>
      <c r="AB34" s="438" t="s">
        <v>539</v>
      </c>
      <c r="AC34" s="439"/>
    </row>
    <row r="35" spans="1:31">
      <c r="A35" s="517" t="s">
        <v>772</v>
      </c>
      <c r="B35" s="484">
        <f>ROUND('UAT8-Aug'!B83*SUM('UAT9-Sep'!B141:B151),0)*-1</f>
        <v>-5090944</v>
      </c>
      <c r="C35" s="484">
        <f>ROUND('UAT8-Aug'!C83*SUM('UAT9-Sep'!C141:C151),0)*-1</f>
        <v>-901811</v>
      </c>
      <c r="D35" s="484"/>
      <c r="E35" s="484">
        <f>ROUND('UAT8-Aug'!E83*SUM('UAT9-Sep'!E141:E151),0)*-1</f>
        <v>-7500000</v>
      </c>
      <c r="F35" s="484">
        <f>ROUND('UAT8-Aug'!F83*SUM('UAT9-Sep'!F141:F151),0)*-1</f>
        <v>0</v>
      </c>
      <c r="G35" s="484">
        <f>ROUND('UAT8-Aug'!G83*SUM('UAT9-Sep'!G141:G151),0)*-1</f>
        <v>0</v>
      </c>
      <c r="H35" s="484">
        <f>ROUND('UAT8-Aug'!H83*SUM('UAT9-Sep'!H141:H151),0)*-1</f>
        <v>-12920960</v>
      </c>
      <c r="I35" s="484">
        <f>ROUND('UAT8-Aug'!I83*SUM('UAT9-Sep'!I141:I151),0)*-1</f>
        <v>0</v>
      </c>
      <c r="J35" s="484">
        <f>ROUND('UAT8-Aug'!J83*SUM('UAT9-Sep'!J141:J151),0)*-1</f>
        <v>0</v>
      </c>
      <c r="K35" s="484">
        <f>ROUND('UAT8-Aug'!K83*SUM('UAT9-Sep'!K141:K151),0)*-1</f>
        <v>-3636352</v>
      </c>
      <c r="L35" s="484">
        <f>ROUND('UAT8-Aug'!L83*SUM('UAT9-Sep'!L141:L151),0)*-1</f>
        <v>-5750008</v>
      </c>
      <c r="M35" s="484">
        <f>ROUND('UAT8-Aug'!M83*SUM('UAT9-Sep'!M141:M151),0)*-1</f>
        <v>0</v>
      </c>
      <c r="N35" s="484">
        <f>ROUND('UAT8-Aug'!N83*SUM('UAT9-Sep'!N141:N151),0)*-1</f>
        <v>-7636440</v>
      </c>
      <c r="O35" s="432">
        <f>ROUND('UAT8-Aug'!O83*SUM('UAT9-Sep'!O141:O151),0)*-1</f>
        <v>-2454552</v>
      </c>
      <c r="P35" s="495">
        <f t="shared" si="5"/>
        <v>-45891067</v>
      </c>
      <c r="Q35" s="437" t="s">
        <v>523</v>
      </c>
      <c r="R35" s="437" t="s">
        <v>523</v>
      </c>
      <c r="S35" s="437"/>
      <c r="T35" s="437"/>
      <c r="U35" s="437"/>
      <c r="V35" s="350" t="s">
        <v>2</v>
      </c>
      <c r="W35" s="351">
        <v>91999901</v>
      </c>
      <c r="X35" s="352" t="s">
        <v>505</v>
      </c>
      <c r="Y35" s="352" t="s">
        <v>506</v>
      </c>
      <c r="Z35" s="353">
        <v>9140</v>
      </c>
      <c r="AA35" s="354"/>
      <c r="AB35" s="438">
        <v>0.76</v>
      </c>
      <c r="AC35" s="439"/>
    </row>
    <row r="36" spans="1:31">
      <c r="A36" s="517" t="s">
        <v>773</v>
      </c>
      <c r="B36" s="484">
        <f>ROUND('UAT8-Aug'!B84*SUM('UAT9-Sep'!B141:B151),0)*-1</f>
        <v>-11512704</v>
      </c>
      <c r="C36" s="484">
        <f>ROUND('UAT8-Aug'!C84*SUM('UAT9-Sep'!C141:C151),0)*-1</f>
        <v>-2267648</v>
      </c>
      <c r="D36" s="484"/>
      <c r="E36" s="484">
        <f>ROUND('UAT8-Aug'!E84*SUM('UAT9-Sep'!E141:E151),0)*-1</f>
        <v>-9361320</v>
      </c>
      <c r="F36" s="484">
        <f>ROUND('UAT8-Aug'!F84*SUM('UAT9-Sep'!F141:F151),0)*-1</f>
        <v>0</v>
      </c>
      <c r="G36" s="484">
        <f>ROUND('UAT8-Aug'!G84*SUM('UAT9-Sep'!G141:G151),0)*-1</f>
        <v>0</v>
      </c>
      <c r="H36" s="484">
        <f>ROUND('UAT8-Aug'!H84*SUM('UAT9-Sep'!H141:H151),0)*-1</f>
        <v>-5471640</v>
      </c>
      <c r="I36" s="484">
        <f>ROUND('UAT8-Aug'!I84*SUM('UAT9-Sep'!I141:I151),0)*-1</f>
        <v>0</v>
      </c>
      <c r="J36" s="484">
        <f>ROUND('UAT8-Aug'!J84*SUM('UAT9-Sep'!J141:J151),0)*-1</f>
        <v>0</v>
      </c>
      <c r="K36" s="484">
        <f>ROUND('UAT8-Aug'!K84*SUM('UAT9-Sep'!K141:K151),0)*-1</f>
        <v>-6083648</v>
      </c>
      <c r="L36" s="484">
        <f>ROUND('UAT8-Aug'!L84*SUM('UAT9-Sep'!L141:L151),0)*-1</f>
        <v>-6864968</v>
      </c>
      <c r="M36" s="484">
        <f>ROUND('UAT8-Aug'!M84*SUM('UAT9-Sep'!M141:M151),0)*-1</f>
        <v>0</v>
      </c>
      <c r="N36" s="484">
        <f>ROUND('UAT8-Aug'!N84*SUM('UAT9-Sep'!N141:N151),0)*-1</f>
        <v>-15826440</v>
      </c>
      <c r="O36" s="432">
        <f>ROUND('UAT8-Aug'!O84*SUM('UAT9-Sep'!O141:O151),0)*-1</f>
        <v>0</v>
      </c>
      <c r="P36" s="495">
        <f t="shared" si="5"/>
        <v>-57388368</v>
      </c>
      <c r="Q36" s="437" t="s">
        <v>523</v>
      </c>
      <c r="R36" s="437" t="s">
        <v>523</v>
      </c>
      <c r="S36" s="437"/>
      <c r="T36" s="437"/>
      <c r="U36" s="437"/>
      <c r="V36" s="350" t="s">
        <v>2</v>
      </c>
      <c r="W36" s="351">
        <v>91999907</v>
      </c>
      <c r="X36" s="352" t="s">
        <v>505</v>
      </c>
      <c r="Y36" s="352" t="s">
        <v>506</v>
      </c>
      <c r="Z36" s="353">
        <v>9140</v>
      </c>
      <c r="AA36" s="354"/>
      <c r="AB36" s="438">
        <v>0.56000000000000005</v>
      </c>
      <c r="AC36" s="439"/>
    </row>
    <row r="37" spans="1:31">
      <c r="A37" s="408"/>
      <c r="B37" s="443"/>
      <c r="C37" s="443"/>
      <c r="D37" s="443"/>
      <c r="E37" s="443"/>
      <c r="F37" s="443"/>
      <c r="G37" s="443"/>
      <c r="H37" s="443"/>
      <c r="I37" s="443"/>
      <c r="J37" s="443"/>
      <c r="K37" s="443"/>
      <c r="L37" s="443"/>
      <c r="M37" s="443"/>
      <c r="N37" s="443"/>
      <c r="O37" s="334"/>
      <c r="P37" s="697"/>
      <c r="Q37" s="522"/>
      <c r="R37" s="373"/>
      <c r="S37" s="373"/>
      <c r="T37" s="373"/>
      <c r="U37" s="373"/>
      <c r="V37" s="350" t="s">
        <v>747</v>
      </c>
      <c r="W37" s="351">
        <v>91999905</v>
      </c>
      <c r="X37" s="352" t="s">
        <v>505</v>
      </c>
      <c r="Y37" s="352" t="s">
        <v>506</v>
      </c>
      <c r="Z37" s="353" t="s">
        <v>641</v>
      </c>
      <c r="AA37" s="354"/>
      <c r="AB37" s="438">
        <v>1</v>
      </c>
      <c r="AC37" s="439"/>
    </row>
    <row r="38" spans="1:31">
      <c r="A38" s="409" t="s">
        <v>579</v>
      </c>
      <c r="B38" s="325"/>
      <c r="C38" s="326"/>
      <c r="D38" s="326"/>
      <c r="E38" s="334"/>
      <c r="F38" s="326"/>
      <c r="G38" s="326"/>
      <c r="H38" s="326"/>
      <c r="I38" s="326"/>
      <c r="J38" s="444"/>
      <c r="K38" s="334"/>
      <c r="L38" s="334"/>
      <c r="M38" s="334"/>
      <c r="N38" s="334"/>
      <c r="O38" s="334"/>
      <c r="P38" s="697"/>
      <c r="Q38" s="374"/>
      <c r="R38" s="374"/>
      <c r="S38" s="374"/>
      <c r="T38" s="374"/>
      <c r="U38" s="374"/>
      <c r="V38" s="562" t="s">
        <v>2</v>
      </c>
      <c r="W38" s="563">
        <v>91999901</v>
      </c>
      <c r="X38" s="564" t="s">
        <v>770</v>
      </c>
      <c r="Y38" s="564" t="s">
        <v>506</v>
      </c>
      <c r="Z38" s="565">
        <v>3081</v>
      </c>
      <c r="AA38" s="561">
        <f>'UAT8-Aug'!AA40</f>
        <v>3000000</v>
      </c>
      <c r="AB38" s="564"/>
      <c r="AC38" s="566"/>
    </row>
    <row r="39" spans="1:31">
      <c r="A39" s="445" t="s">
        <v>592</v>
      </c>
      <c r="B39" s="326">
        <f>ROUND(B170*B121,0)</f>
        <v>2500000</v>
      </c>
      <c r="C39" s="326">
        <f>ROUND(C170*C121,0)</f>
        <v>2250000</v>
      </c>
      <c r="D39" s="326"/>
      <c r="E39" s="326">
        <f>ROUND(E170*E121,0)</f>
        <v>2500000</v>
      </c>
      <c r="F39" s="326">
        <f>ROUND(F170*F121,0)</f>
        <v>2000000</v>
      </c>
      <c r="G39" s="326">
        <f>ROUND(G170*G121,0)</f>
        <v>0</v>
      </c>
      <c r="H39" s="326">
        <f>ROUND(H170*H121,0)</f>
        <v>0</v>
      </c>
      <c r="I39" s="326">
        <f>ROUND(I170*I121,0)</f>
        <v>0</v>
      </c>
      <c r="J39" s="326">
        <f>ROUND(J170*J121,0)</f>
        <v>1500000</v>
      </c>
      <c r="K39" s="326">
        <f>ROUND(K170*K121,0)</f>
        <v>2500000</v>
      </c>
      <c r="L39" s="326">
        <f>ROUND(L170*L121,0)</f>
        <v>2500000</v>
      </c>
      <c r="M39" s="326">
        <f>ROUND(M170*M121,0)</f>
        <v>2500000</v>
      </c>
      <c r="N39" s="326">
        <f>ROUND(N170*N121,0)</f>
        <v>2500000</v>
      </c>
      <c r="O39" s="326">
        <f>ROUND(O170*O121,0)</f>
        <v>0</v>
      </c>
      <c r="P39" s="697">
        <f t="shared" si="5"/>
        <v>20750000</v>
      </c>
      <c r="Q39" s="373" t="s">
        <v>525</v>
      </c>
      <c r="R39" s="373"/>
      <c r="S39" s="373"/>
      <c r="T39" s="373"/>
      <c r="U39" s="373" t="s">
        <v>525</v>
      </c>
      <c r="V39" s="562" t="s">
        <v>2</v>
      </c>
      <c r="W39" s="563">
        <v>91999902</v>
      </c>
      <c r="X39" s="564" t="s">
        <v>770</v>
      </c>
      <c r="Y39" s="564" t="s">
        <v>506</v>
      </c>
      <c r="Z39" s="565">
        <v>3081</v>
      </c>
      <c r="AA39" s="561">
        <f>'UAT8-Aug'!AA41</f>
        <v>3000000</v>
      </c>
      <c r="AB39" s="564"/>
      <c r="AC39" s="566"/>
    </row>
    <row r="40" spans="1:31">
      <c r="A40" s="442" t="s">
        <v>491</v>
      </c>
      <c r="B40" s="326">
        <f>ROUND(B171*B121,0)</f>
        <v>730000</v>
      </c>
      <c r="C40" s="326">
        <f>ROUND(C171*C121,0)</f>
        <v>657000</v>
      </c>
      <c r="D40" s="326"/>
      <c r="E40" s="326">
        <f>ROUND(E171*E121,0)</f>
        <v>730000</v>
      </c>
      <c r="F40" s="326">
        <f>ROUND(F171*F121,0)</f>
        <v>584000</v>
      </c>
      <c r="G40" s="326">
        <f>ROUND(G171*G121,0)</f>
        <v>0</v>
      </c>
      <c r="H40" s="326">
        <f>ROUND(H171*H121,0)</f>
        <v>0</v>
      </c>
      <c r="I40" s="326">
        <f>ROUND(I171*I121,0)</f>
        <v>0</v>
      </c>
      <c r="J40" s="326">
        <f>ROUND(J171*J121,0)</f>
        <v>438000</v>
      </c>
      <c r="K40" s="326">
        <f>ROUND(K171*K121,0)</f>
        <v>730000</v>
      </c>
      <c r="L40" s="326">
        <f>ROUND(L171*L121,0)</f>
        <v>730000</v>
      </c>
      <c r="M40" s="326">
        <f>ROUND(M171*M121,0)</f>
        <v>730000</v>
      </c>
      <c r="N40" s="326">
        <f>ROUND(N171*N121,0)</f>
        <v>730000</v>
      </c>
      <c r="O40" s="326">
        <f>ROUND(O171*O121,0)</f>
        <v>0</v>
      </c>
      <c r="P40" s="697">
        <f t="shared" si="5"/>
        <v>6059000</v>
      </c>
      <c r="Q40" s="373" t="s">
        <v>525</v>
      </c>
      <c r="R40" s="373"/>
      <c r="S40" s="373"/>
      <c r="T40" s="373"/>
      <c r="U40" s="373" t="s">
        <v>525</v>
      </c>
      <c r="V40" s="562" t="s">
        <v>2</v>
      </c>
      <c r="W40" s="563">
        <v>91999904</v>
      </c>
      <c r="X40" s="564" t="s">
        <v>769</v>
      </c>
      <c r="Y40" s="564" t="s">
        <v>506</v>
      </c>
      <c r="Z40" s="565">
        <v>3081</v>
      </c>
      <c r="AA40" s="561">
        <f>'UAT8-Aug'!AA42</f>
        <v>3000000</v>
      </c>
      <c r="AB40" s="564"/>
      <c r="AC40" s="566"/>
    </row>
    <row r="41" spans="1:31">
      <c r="A41" s="405"/>
      <c r="B41" s="325"/>
      <c r="C41" s="326"/>
      <c r="D41" s="326"/>
      <c r="E41" s="326"/>
      <c r="F41" s="326"/>
      <c r="G41" s="326"/>
      <c r="H41" s="326"/>
      <c r="I41" s="326"/>
      <c r="J41" s="326"/>
      <c r="K41" s="326"/>
      <c r="L41" s="326"/>
      <c r="M41" s="326"/>
      <c r="N41" s="326"/>
      <c r="O41" s="326"/>
      <c r="P41" s="338"/>
      <c r="Q41" s="373"/>
      <c r="R41" s="373"/>
      <c r="S41" s="373"/>
      <c r="T41" s="373"/>
      <c r="U41" s="373"/>
      <c r="V41" s="562" t="s">
        <v>2</v>
      </c>
      <c r="W41" s="563">
        <v>91999905</v>
      </c>
      <c r="X41" s="564" t="s">
        <v>769</v>
      </c>
      <c r="Y41" s="564" t="s">
        <v>506</v>
      </c>
      <c r="Z41" s="565">
        <v>3081</v>
      </c>
      <c r="AA41" s="561">
        <f>'UAT8-Aug'!AA43</f>
        <v>3000000</v>
      </c>
      <c r="AB41" s="564"/>
      <c r="AC41" s="566"/>
    </row>
    <row r="42" spans="1:31">
      <c r="A42" s="510" t="s">
        <v>569</v>
      </c>
      <c r="B42" s="326"/>
      <c r="C42" s="326"/>
      <c r="D42" s="326"/>
      <c r="E42" s="334"/>
      <c r="F42" s="326"/>
      <c r="G42" s="326"/>
      <c r="H42" s="326"/>
      <c r="I42" s="326"/>
      <c r="J42" s="326"/>
      <c r="K42" s="334"/>
      <c r="L42" s="334"/>
      <c r="M42" s="334"/>
      <c r="N42" s="334"/>
      <c r="O42" s="334"/>
      <c r="P42" s="338"/>
      <c r="Q42" s="373"/>
      <c r="R42" s="373"/>
      <c r="S42" s="373"/>
      <c r="T42" s="373"/>
      <c r="U42" s="373"/>
      <c r="V42" s="562" t="s">
        <v>2</v>
      </c>
      <c r="W42" s="563">
        <v>91999909</v>
      </c>
      <c r="X42" s="564" t="s">
        <v>769</v>
      </c>
      <c r="Y42" s="564" t="s">
        <v>506</v>
      </c>
      <c r="Z42" s="565">
        <v>3081</v>
      </c>
      <c r="AA42" s="561">
        <f>'UAT8-Aug'!AA44</f>
        <v>3000000</v>
      </c>
      <c r="AB42" s="564"/>
      <c r="AC42" s="566"/>
    </row>
    <row r="43" spans="1:31">
      <c r="A43" s="436" t="s">
        <v>532</v>
      </c>
      <c r="B43" s="326">
        <f t="shared" ref="B43:H43" si="8">IF(OR(B19="A",B19="B"),ROUND(ROUND(2369796*B17*B20*IF(B18&lt;3,0,IF(B18&lt;6,50%,100%)),0)*B13/365,0),ROUND(ROUND(2466.55*$B$4,0)*B20*B17*B13/365,0))</f>
        <v>194778</v>
      </c>
      <c r="C43" s="326">
        <f t="shared" si="8"/>
        <v>350600</v>
      </c>
      <c r="D43" s="326">
        <f t="shared" si="8"/>
        <v>0</v>
      </c>
      <c r="E43" s="326">
        <f t="shared" si="8"/>
        <v>292167</v>
      </c>
      <c r="F43" s="326">
        <f t="shared" si="8"/>
        <v>0</v>
      </c>
      <c r="G43" s="326">
        <f t="shared" si="8"/>
        <v>0</v>
      </c>
      <c r="H43" s="326">
        <f t="shared" si="8"/>
        <v>4704353</v>
      </c>
      <c r="I43" s="326">
        <f t="shared" ref="I43:O43" si="9">IF(OR(I19="A",I19="B"),ROUND(2369796/365*I17,0),ROUND(ROUND(2466.55*$B$4,0)/365*I17,0))*I20*IF(I18&lt;3,0,IF(I18&lt;6,50%,100%))</f>
        <v>0</v>
      </c>
      <c r="J43" s="326">
        <f t="shared" si="9"/>
        <v>0</v>
      </c>
      <c r="K43" s="326">
        <f t="shared" si="9"/>
        <v>0</v>
      </c>
      <c r="L43" s="326">
        <f t="shared" si="9"/>
        <v>0</v>
      </c>
      <c r="M43" s="326">
        <f t="shared" si="9"/>
        <v>0</v>
      </c>
      <c r="N43" s="326">
        <f t="shared" si="9"/>
        <v>0</v>
      </c>
      <c r="O43" s="326">
        <f t="shared" si="9"/>
        <v>0</v>
      </c>
      <c r="P43" s="339">
        <f>SUM(B43:O43)</f>
        <v>5541898</v>
      </c>
      <c r="Q43" s="373"/>
      <c r="R43" s="373" t="s">
        <v>591</v>
      </c>
      <c r="S43" s="373"/>
      <c r="T43" s="373"/>
      <c r="U43" s="373"/>
      <c r="V43" s="562" t="s">
        <v>2</v>
      </c>
      <c r="W43" s="563">
        <v>91999910</v>
      </c>
      <c r="X43" s="564" t="s">
        <v>769</v>
      </c>
      <c r="Y43" s="564" t="s">
        <v>506</v>
      </c>
      <c r="Z43" s="565">
        <v>3081</v>
      </c>
      <c r="AA43" s="561">
        <f>'UAT8-Aug'!AA45</f>
        <v>3000000</v>
      </c>
      <c r="AB43" s="564"/>
      <c r="AC43" s="566"/>
    </row>
    <row r="44" spans="1:31">
      <c r="A44" s="405"/>
      <c r="B44" s="325"/>
      <c r="C44" s="326"/>
      <c r="D44" s="326"/>
      <c r="E44" s="334"/>
      <c r="F44" s="362"/>
      <c r="G44" s="362"/>
      <c r="H44" s="362"/>
      <c r="I44" s="362"/>
      <c r="J44" s="362"/>
      <c r="K44" s="334"/>
      <c r="L44" s="334"/>
      <c r="M44" s="334"/>
      <c r="N44" s="334"/>
      <c r="O44" s="334"/>
      <c r="P44" s="338"/>
      <c r="Q44" s="373"/>
      <c r="R44" s="373"/>
      <c r="S44" s="373"/>
      <c r="T44" s="373"/>
      <c r="U44" s="373"/>
      <c r="V44" s="562" t="s">
        <v>2</v>
      </c>
      <c r="W44" s="563">
        <v>91999911</v>
      </c>
      <c r="X44" s="564" t="s">
        <v>769</v>
      </c>
      <c r="Y44" s="564" t="s">
        <v>506</v>
      </c>
      <c r="Z44" s="565">
        <v>3081</v>
      </c>
      <c r="AA44" s="561">
        <f>'UAT8-Aug'!AA46</f>
        <v>3000000</v>
      </c>
      <c r="AB44" s="564"/>
      <c r="AC44" s="566"/>
    </row>
    <row r="45" spans="1:31">
      <c r="A45" s="441" t="s">
        <v>61</v>
      </c>
      <c r="B45" s="359">
        <f>SUM(B25:B41)</f>
        <v>29138969</v>
      </c>
      <c r="C45" s="360">
        <f>SUM(C25:C41)</f>
        <v>16441541</v>
      </c>
      <c r="D45" s="360"/>
      <c r="E45" s="360">
        <f t="shared" ref="E45:O45" si="10">SUM(E25:E41)</f>
        <v>7868680</v>
      </c>
      <c r="F45" s="360">
        <f t="shared" si="10"/>
        <v>23784000</v>
      </c>
      <c r="G45" s="360">
        <f t="shared" si="10"/>
        <v>74256000</v>
      </c>
      <c r="H45" s="360">
        <f t="shared" si="10"/>
        <v>74107172</v>
      </c>
      <c r="I45" s="360">
        <f t="shared" si="10"/>
        <v>73530844</v>
      </c>
      <c r="J45" s="360">
        <f t="shared" si="10"/>
        <v>51138000</v>
      </c>
      <c r="K45" s="360">
        <f t="shared" si="10"/>
        <v>40203398</v>
      </c>
      <c r="L45" s="360">
        <f t="shared" si="10"/>
        <v>18881070</v>
      </c>
      <c r="M45" s="360">
        <f t="shared" si="10"/>
        <v>26653100</v>
      </c>
      <c r="N45" s="480">
        <f t="shared" si="10"/>
        <v>1117120</v>
      </c>
      <c r="O45" s="708">
        <f t="shared" si="10"/>
        <v>2045448</v>
      </c>
      <c r="P45" s="338">
        <f>SUM(B45:O45)</f>
        <v>439165342</v>
      </c>
      <c r="Q45" s="373"/>
      <c r="R45" s="373"/>
      <c r="S45" s="373"/>
      <c r="T45" s="373"/>
      <c r="U45" s="373"/>
      <c r="V45" s="562" t="s">
        <v>2</v>
      </c>
      <c r="W45" s="563">
        <v>91999912</v>
      </c>
      <c r="X45" s="564" t="s">
        <v>769</v>
      </c>
      <c r="Y45" s="564" t="s">
        <v>506</v>
      </c>
      <c r="Z45" s="565">
        <v>3081</v>
      </c>
      <c r="AA45" s="561">
        <f>'UAT8-Aug'!AA47</f>
        <v>3000000</v>
      </c>
      <c r="AB45" s="564"/>
      <c r="AC45" s="566"/>
      <c r="AD45" s="287"/>
      <c r="AE45" s="287"/>
    </row>
    <row r="46" spans="1:31">
      <c r="A46" s="411"/>
      <c r="B46" s="325"/>
      <c r="C46" s="326"/>
      <c r="D46" s="326"/>
      <c r="E46" s="334"/>
      <c r="F46" s="326"/>
      <c r="G46" s="326"/>
      <c r="H46" s="326"/>
      <c r="I46" s="326"/>
      <c r="J46" s="326"/>
      <c r="K46" s="334"/>
      <c r="L46" s="334"/>
      <c r="M46" s="334"/>
      <c r="N46" s="334"/>
      <c r="O46" s="334"/>
      <c r="P46" s="338"/>
      <c r="Q46" s="373"/>
      <c r="R46" s="373"/>
      <c r="S46" s="373"/>
      <c r="T46" s="373"/>
      <c r="U46" s="373"/>
      <c r="V46" s="562" t="s">
        <v>2</v>
      </c>
      <c r="W46" s="563">
        <v>91999913</v>
      </c>
      <c r="X46" s="564" t="s">
        <v>769</v>
      </c>
      <c r="Y46" s="564" t="s">
        <v>506</v>
      </c>
      <c r="Z46" s="565">
        <v>3081</v>
      </c>
      <c r="AA46" s="561">
        <f>'UAT8-Aug'!AA48</f>
        <v>3000000</v>
      </c>
      <c r="AB46" s="564"/>
      <c r="AC46" s="566"/>
      <c r="AD46" s="287"/>
      <c r="AE46" s="287"/>
    </row>
    <row r="47" spans="1:31" ht="15.6">
      <c r="A47" s="412" t="s">
        <v>60</v>
      </c>
      <c r="B47" s="363"/>
      <c r="C47" s="356"/>
      <c r="D47" s="356"/>
      <c r="E47" s="364"/>
      <c r="F47" s="356"/>
      <c r="G47" s="356"/>
      <c r="H47" s="356"/>
      <c r="I47" s="356"/>
      <c r="J47" s="356"/>
      <c r="K47" s="364"/>
      <c r="L47" s="364"/>
      <c r="M47" s="364"/>
      <c r="N47" s="364"/>
      <c r="O47" s="364"/>
      <c r="P47" s="338"/>
      <c r="Q47" s="373"/>
      <c r="R47" s="373"/>
      <c r="S47" s="373"/>
      <c r="T47" s="373"/>
      <c r="U47" s="373"/>
      <c r="V47" s="562" t="s">
        <v>2</v>
      </c>
      <c r="W47" s="563">
        <v>91999901</v>
      </c>
      <c r="X47" s="564" t="s">
        <v>770</v>
      </c>
      <c r="Y47" s="564" t="s">
        <v>506</v>
      </c>
      <c r="Z47" s="565" t="s">
        <v>771</v>
      </c>
      <c r="AA47" s="561">
        <f>'UAT8-Aug'!AA49</f>
        <v>3500000</v>
      </c>
      <c r="AB47" s="564"/>
      <c r="AC47" s="566"/>
      <c r="AD47" s="287"/>
      <c r="AE47" s="287"/>
    </row>
    <row r="48" spans="1:31">
      <c r="A48" s="407" t="s">
        <v>55</v>
      </c>
      <c r="B48" s="363"/>
      <c r="C48" s="356"/>
      <c r="D48" s="356"/>
      <c r="E48" s="364"/>
      <c r="F48" s="356"/>
      <c r="G48" s="356"/>
      <c r="H48" s="356"/>
      <c r="I48" s="356"/>
      <c r="J48" s="356"/>
      <c r="K48" s="364"/>
      <c r="L48" s="364"/>
      <c r="M48" s="364"/>
      <c r="N48" s="364"/>
      <c r="O48" s="364"/>
      <c r="P48" s="338"/>
      <c r="Q48" s="373"/>
      <c r="R48" s="373"/>
      <c r="S48" s="373"/>
      <c r="T48" s="373"/>
      <c r="U48" s="373"/>
      <c r="V48" s="562" t="s">
        <v>2</v>
      </c>
      <c r="W48" s="563">
        <v>91999902</v>
      </c>
      <c r="X48" s="564" t="s">
        <v>770</v>
      </c>
      <c r="Y48" s="564" t="s">
        <v>506</v>
      </c>
      <c r="Z48" s="565" t="s">
        <v>771</v>
      </c>
      <c r="AA48" s="561">
        <f>'UAT8-Aug'!AA50</f>
        <v>3500000</v>
      </c>
      <c r="AB48" s="564"/>
      <c r="AC48" s="566"/>
      <c r="AD48" s="287"/>
      <c r="AE48" s="287"/>
    </row>
    <row r="49" spans="1:31">
      <c r="A49" s="417" t="s">
        <v>573</v>
      </c>
      <c r="B49" s="326">
        <f>ROUND(MIN(B$129,29800000)*'New Hire'!C54,0)</f>
        <v>1008000</v>
      </c>
      <c r="C49" s="326">
        <f>ROUND(MIN(C$129,29800000)*'New Hire'!D54,0)</f>
        <v>832320</v>
      </c>
      <c r="D49" s="326"/>
      <c r="E49" s="326">
        <f>ROUND(MIN(E$129,29800000)*'New Hire'!F54,0)</f>
        <v>1160000</v>
      </c>
      <c r="F49" s="326">
        <f>ROUND(MIN(F$129,29800000)*'New Hire'!G54,0)</f>
        <v>0</v>
      </c>
      <c r="G49" s="326">
        <f>ROUND(MIN(G$129,29800000)*'New Hire'!H54,0)</f>
        <v>0</v>
      </c>
      <c r="H49" s="326">
        <f>ROUND(MIN(H$129,29800000)*'New Hire'!I54,0)</f>
        <v>0</v>
      </c>
      <c r="I49" s="326">
        <f>ROUND(MIN(I$129,29800000)*'New Hire'!J54,0)</f>
        <v>0</v>
      </c>
      <c r="J49" s="326">
        <f>ROUND(MIN(J$129,29800000)*'New Hire'!K54,0)</f>
        <v>2384000</v>
      </c>
      <c r="K49" s="326">
        <f>ROUND(MIN(K$129,29800000)*'New Hire'!L54,0)</f>
        <v>0</v>
      </c>
      <c r="L49" s="326">
        <f>ROUND(MIN(L$129,29800000)*'New Hire'!M54,0)</f>
        <v>1200000</v>
      </c>
      <c r="M49" s="326">
        <f>ROUND(MIN(M$129,29800000)*'New Hire'!N54,0)</f>
        <v>0</v>
      </c>
      <c r="N49" s="326">
        <f>ROUND(MIN(N$129,29800000)*'New Hire'!O54,0)</f>
        <v>0</v>
      </c>
      <c r="O49" s="326">
        <f>ROUND(MIN(O$129,29800000)*'New Hire'!P54,0)</f>
        <v>0</v>
      </c>
      <c r="P49" s="338">
        <f t="shared" ref="P49:P59" si="11">SUM(B49:O49)</f>
        <v>6584320</v>
      </c>
      <c r="Q49" s="373"/>
      <c r="R49" s="373"/>
      <c r="S49" s="373"/>
      <c r="T49" s="373"/>
      <c r="U49" s="373"/>
      <c r="V49" s="562" t="s">
        <v>2</v>
      </c>
      <c r="W49" s="563">
        <v>91999904</v>
      </c>
      <c r="X49" s="564" t="s">
        <v>769</v>
      </c>
      <c r="Y49" s="564" t="s">
        <v>506</v>
      </c>
      <c r="Z49" s="565" t="s">
        <v>771</v>
      </c>
      <c r="AA49" s="561">
        <f>'UAT8-Aug'!AA51</f>
        <v>3500000</v>
      </c>
      <c r="AB49" s="564"/>
      <c r="AC49" s="566"/>
      <c r="AD49" s="287"/>
      <c r="AE49" s="287"/>
    </row>
    <row r="50" spans="1:31">
      <c r="A50" s="513" t="s">
        <v>1451</v>
      </c>
      <c r="B50" s="431">
        <f>IF(B15&lt;'UAT8-Aug'!B15/2,0,'UAT8-Aug'!B44)-'UAT8-Aug'!B44</f>
        <v>-1008000</v>
      </c>
      <c r="C50" s="431">
        <f>IF(C15&lt;'UAT8-Aug'!C15/2,0,'UAT8-Aug'!C44)-'UAT8-Aug'!C44</f>
        <v>0</v>
      </c>
      <c r="D50" s="431">
        <f>IF(D15&lt;'UAT8-Aug'!D15/2,0,'UAT8-Aug'!D44)-'UAT8-Aug'!D44</f>
        <v>0</v>
      </c>
      <c r="E50" s="431">
        <f>IF(E15&lt;'UAT8-Aug'!E15/2,0,'UAT8-Aug'!E44)-'UAT8-Aug'!E44</f>
        <v>-1160000</v>
      </c>
      <c r="F50" s="431">
        <f>IF(F15&lt;'UAT8-Aug'!F15/2,0,'UAT8-Aug'!F44)-'UAT8-Aug'!F44</f>
        <v>0</v>
      </c>
      <c r="G50" s="431">
        <f>IF(G15&lt;'UAT8-Aug'!G15/2,0,'UAT8-Aug'!G44)-'UAT8-Aug'!G44</f>
        <v>0</v>
      </c>
      <c r="H50" s="431">
        <f>IF(H15&lt;'UAT8-Aug'!H15/2,0,'UAT8-Aug'!H44)-'UAT8-Aug'!H44</f>
        <v>0</v>
      </c>
      <c r="I50" s="431">
        <f>IF(I15&lt;'UAT8-Aug'!I15/2,0,'UAT8-Aug'!I44)-'UAT8-Aug'!I44</f>
        <v>0</v>
      </c>
      <c r="J50" s="431">
        <f>IF(J15&lt;'UAT8-Aug'!J15/2,0,'UAT8-Aug'!J44)-'UAT8-Aug'!J44</f>
        <v>0</v>
      </c>
      <c r="K50" s="431">
        <f>IF(K15&lt;'UAT8-Aug'!K15/2,0,'UAT8-Aug'!K44)-'UAT8-Aug'!K44</f>
        <v>0</v>
      </c>
      <c r="L50" s="431">
        <f>IF(L15&lt;'UAT8-Aug'!L15/2,0,'UAT8-Aug'!L44)-'UAT8-Aug'!L44</f>
        <v>0</v>
      </c>
      <c r="M50" s="431">
        <f>IF(M15&lt;'UAT8-Aug'!M15/2,0,'UAT8-Aug'!M44)-'UAT8-Aug'!M44</f>
        <v>0</v>
      </c>
      <c r="N50" s="431">
        <f>IF(N15&lt;'UAT8-Aug'!N15/2,0,'UAT8-Aug'!N44)-'UAT8-Aug'!N44</f>
        <v>0</v>
      </c>
      <c r="O50" s="431">
        <f>IF(O15&lt;'UAT8-Aug'!O15/2,0,'UAT8-Aug'!O44)-'UAT8-Aug'!O44</f>
        <v>0</v>
      </c>
      <c r="P50" s="495">
        <f t="shared" si="11"/>
        <v>-2168000</v>
      </c>
      <c r="Q50" s="373"/>
      <c r="R50" s="373"/>
      <c r="S50" s="373"/>
      <c r="T50" s="373"/>
      <c r="U50" s="373"/>
      <c r="V50" s="562" t="s">
        <v>2</v>
      </c>
      <c r="W50" s="563">
        <v>91999905</v>
      </c>
      <c r="X50" s="564" t="s">
        <v>769</v>
      </c>
      <c r="Y50" s="564" t="s">
        <v>506</v>
      </c>
      <c r="Z50" s="565" t="s">
        <v>771</v>
      </c>
      <c r="AA50" s="561">
        <f>'UAT8-Aug'!AA52</f>
        <v>3500000</v>
      </c>
      <c r="AB50" s="564"/>
      <c r="AC50" s="566"/>
      <c r="AD50" s="287"/>
      <c r="AE50" s="287"/>
    </row>
    <row r="51" spans="1:31">
      <c r="A51" s="436" t="s">
        <v>574</v>
      </c>
      <c r="B51" s="326">
        <f>ROUND(MIN(B130,83600000)*'New Hire'!C57,0)</f>
        <v>126000</v>
      </c>
      <c r="C51" s="326">
        <f>ROUND(MIN(C130,83600000)*'New Hire'!D57,0)</f>
        <v>104040</v>
      </c>
      <c r="D51" s="326"/>
      <c r="E51" s="326">
        <f>ROUND(MIN(E130,83600000)*'New Hire'!F57,0)</f>
        <v>145000</v>
      </c>
      <c r="F51" s="326">
        <f>ROUND(MIN(F130,83600000)*'New Hire'!G57,0)</f>
        <v>0</v>
      </c>
      <c r="G51" s="326">
        <f>ROUND(MIN(G130,83600000)*'New Hire'!H57,0)</f>
        <v>0</v>
      </c>
      <c r="H51" s="326">
        <f>ROUND(MIN(H130,83600000)*'New Hire'!I57,0)</f>
        <v>0</v>
      </c>
      <c r="I51" s="326">
        <f>ROUND(MIN(I130,83600000)*'New Hire'!J57,0)</f>
        <v>0</v>
      </c>
      <c r="J51" s="326">
        <f>ROUND(MIN(J130,83600000)*'New Hire'!K57,0)</f>
        <v>450000</v>
      </c>
      <c r="K51" s="326">
        <f>ROUND(MIN(K130,83600000)*'New Hire'!L57,0)</f>
        <v>0</v>
      </c>
      <c r="L51" s="326">
        <f>ROUND(MIN(L130,83600000)*'New Hire'!M57,0)</f>
        <v>150000</v>
      </c>
      <c r="M51" s="326">
        <f>ROUND(MIN(M130,83600000)*'New Hire'!N57,0)</f>
        <v>0</v>
      </c>
      <c r="N51" s="326">
        <f>ROUND(MIN(N130,83600000)*'New Hire'!O57,0)</f>
        <v>0</v>
      </c>
      <c r="O51" s="326">
        <f>ROUND(MIN(O130,83600000)*'New Hire'!P57,0)</f>
        <v>0</v>
      </c>
      <c r="P51" s="338">
        <f t="shared" si="11"/>
        <v>975040</v>
      </c>
      <c r="Q51" s="373"/>
      <c r="R51" s="373"/>
      <c r="S51" s="373"/>
      <c r="T51" s="373"/>
      <c r="U51" s="373"/>
      <c r="V51" s="562" t="s">
        <v>2</v>
      </c>
      <c r="W51" s="563">
        <v>91999907</v>
      </c>
      <c r="X51" s="564" t="s">
        <v>769</v>
      </c>
      <c r="Y51" s="564" t="s">
        <v>506</v>
      </c>
      <c r="Z51" s="565" t="s">
        <v>771</v>
      </c>
      <c r="AA51" s="561">
        <f>'UAT8-Aug'!AA53</f>
        <v>200</v>
      </c>
      <c r="AB51" s="564" t="s">
        <v>603</v>
      </c>
      <c r="AC51" s="566"/>
      <c r="AD51" s="287"/>
      <c r="AE51" s="287"/>
    </row>
    <row r="52" spans="1:31">
      <c r="A52" s="452" t="s">
        <v>1452</v>
      </c>
      <c r="B52" s="431">
        <f>IF(B15&lt;'UAT8-Aug'!B15/2,0,'UAT8-Aug'!B45)-'UAT8-Aug'!B45</f>
        <v>-126000</v>
      </c>
      <c r="C52" s="431">
        <f>IF(C15&lt;'UAT8-Aug'!C15/2,0,'UAT8-Aug'!C45)-'UAT8-Aug'!C45</f>
        <v>0</v>
      </c>
      <c r="D52" s="431">
        <f>IF(D15&lt;'UAT8-Aug'!D15/2,0,'UAT8-Aug'!D45)-'UAT8-Aug'!D45</f>
        <v>0</v>
      </c>
      <c r="E52" s="431">
        <f>IF(E15&lt;'UAT8-Aug'!E15/2,0,'UAT8-Aug'!E45)-'UAT8-Aug'!E45</f>
        <v>-145000</v>
      </c>
      <c r="F52" s="431">
        <f>IF(F15&lt;'UAT8-Aug'!F15/2,0,'UAT8-Aug'!F45)-'UAT8-Aug'!F45</f>
        <v>0</v>
      </c>
      <c r="G52" s="431">
        <f>IF(G15&lt;'UAT8-Aug'!G15/2,0,'UAT8-Aug'!G45)-'UAT8-Aug'!G45</f>
        <v>0</v>
      </c>
      <c r="H52" s="431">
        <f>IF(H15&lt;'UAT8-Aug'!H15/2,0,'UAT8-Aug'!H45)-'UAT8-Aug'!H45</f>
        <v>0</v>
      </c>
      <c r="I52" s="431">
        <f>IF(I15&lt;'UAT8-Aug'!I15/2,0,'UAT8-Aug'!I45)-'UAT8-Aug'!I45</f>
        <v>0</v>
      </c>
      <c r="J52" s="431">
        <f>IF(J15&lt;'UAT8-Aug'!J15/2,0,'UAT8-Aug'!J45)-'UAT8-Aug'!J45</f>
        <v>0</v>
      </c>
      <c r="K52" s="431">
        <f>IF(K15&lt;'UAT8-Aug'!K15/2,0,'UAT8-Aug'!K45)-'UAT8-Aug'!K45</f>
        <v>0</v>
      </c>
      <c r="L52" s="431">
        <f>IF(L15&lt;'UAT8-Aug'!L15/2,0,'UAT8-Aug'!L45)-'UAT8-Aug'!L45</f>
        <v>0</v>
      </c>
      <c r="M52" s="431">
        <f>IF(M15&lt;'UAT8-Aug'!M15/2,0,'UAT8-Aug'!M45)-'UAT8-Aug'!M45</f>
        <v>0</v>
      </c>
      <c r="N52" s="431">
        <f>IF(N15&lt;'UAT8-Aug'!N15/2,0,'UAT8-Aug'!N45)-'UAT8-Aug'!N45</f>
        <v>0</v>
      </c>
      <c r="O52" s="431">
        <f>IF(O15&lt;'UAT8-Aug'!O15/2,0,'UAT8-Aug'!O45)-'UAT8-Aug'!O45</f>
        <v>0</v>
      </c>
      <c r="P52" s="495">
        <f t="shared" si="11"/>
        <v>-271000</v>
      </c>
      <c r="Q52" s="373"/>
      <c r="R52" s="373"/>
      <c r="S52" s="373"/>
      <c r="T52" s="373"/>
      <c r="U52" s="373"/>
      <c r="V52" s="562" t="s">
        <v>2</v>
      </c>
      <c r="W52" s="563">
        <v>91999908</v>
      </c>
      <c r="X52" s="564" t="s">
        <v>769</v>
      </c>
      <c r="Y52" s="564" t="s">
        <v>506</v>
      </c>
      <c r="Z52" s="565" t="s">
        <v>771</v>
      </c>
      <c r="AA52" s="561">
        <f>'UAT8-Aug'!AA54</f>
        <v>200</v>
      </c>
      <c r="AB52" s="564" t="s">
        <v>603</v>
      </c>
      <c r="AC52" s="566"/>
      <c r="AD52" s="287"/>
      <c r="AE52" s="287"/>
    </row>
    <row r="53" spans="1:31">
      <c r="A53" s="436" t="s">
        <v>575</v>
      </c>
      <c r="B53" s="326">
        <f>ROUND(MIN(B$129,29800000)*'New Hire'!C60,0)</f>
        <v>189000</v>
      </c>
      <c r="C53" s="326">
        <f>ROUND(MIN(C$129,29800000)*'New Hire'!D60,0)</f>
        <v>156060</v>
      </c>
      <c r="D53" s="326"/>
      <c r="E53" s="326">
        <f>ROUND(MIN(E$129,29800000)*'New Hire'!F60,0)</f>
        <v>217500</v>
      </c>
      <c r="F53" s="326">
        <f>ROUND(MIN(F$129,29800000)*'New Hire'!G60,0)</f>
        <v>0</v>
      </c>
      <c r="G53" s="326">
        <f>ROUND(MIN(G$129,29800000)*'New Hire'!H60,0)</f>
        <v>447000</v>
      </c>
      <c r="H53" s="326">
        <f>ROUND(MIN(H$129,29800000)*'New Hire'!I60,0)</f>
        <v>447000</v>
      </c>
      <c r="I53" s="326">
        <f>ROUND(MIN(I$129,29800000)*'New Hire'!J60,0)</f>
        <v>447000</v>
      </c>
      <c r="J53" s="326">
        <f>ROUND(MIN(J$129,29800000)*'New Hire'!K60,0)</f>
        <v>447000</v>
      </c>
      <c r="K53" s="326">
        <f>ROUND(MIN(K$129,29800000)*'New Hire'!L60,0)</f>
        <v>0</v>
      </c>
      <c r="L53" s="326">
        <f>ROUND(MIN(L$129,29800000)*'New Hire'!M60,0)</f>
        <v>225000</v>
      </c>
      <c r="M53" s="326">
        <f>ROUND(MIN(M$129,29800000)*'New Hire'!N60,0)</f>
        <v>0</v>
      </c>
      <c r="N53" s="326">
        <f>ROUND(MIN(N$129,29800000)*'New Hire'!O60,0)</f>
        <v>0</v>
      </c>
      <c r="O53" s="326">
        <f>ROUND(MIN(O$129,29800000)*'New Hire'!P60,0)</f>
        <v>0</v>
      </c>
      <c r="P53" s="338">
        <f t="shared" si="11"/>
        <v>2575560</v>
      </c>
      <c r="Q53" s="373"/>
      <c r="R53" s="373"/>
      <c r="S53" s="373"/>
      <c r="T53" s="373"/>
      <c r="U53" s="373"/>
      <c r="V53" s="562" t="s">
        <v>2</v>
      </c>
      <c r="W53" s="563">
        <v>91999909</v>
      </c>
      <c r="X53" s="564" t="s">
        <v>769</v>
      </c>
      <c r="Y53" s="564" t="s">
        <v>506</v>
      </c>
      <c r="Z53" s="565" t="s">
        <v>771</v>
      </c>
      <c r="AA53" s="561">
        <f>'UAT8-Aug'!AA55</f>
        <v>3500000</v>
      </c>
      <c r="AB53" s="564"/>
      <c r="AC53" s="566"/>
      <c r="AD53" s="287"/>
      <c r="AE53" s="287"/>
    </row>
    <row r="54" spans="1:31">
      <c r="A54" s="452" t="s">
        <v>1453</v>
      </c>
      <c r="B54" s="431">
        <f>IF(B15&lt;'UAT8-Aug'!B15/2,0,'UAT8-Aug'!B46)-'UAT8-Aug'!B46</f>
        <v>-189000</v>
      </c>
      <c r="C54" s="431">
        <f>IF(C15&lt;'UAT8-Aug'!C15/2,0,'UAT8-Aug'!C46)-'UAT8-Aug'!C46</f>
        <v>0</v>
      </c>
      <c r="D54" s="431">
        <f>IF(D15&lt;'UAT8-Aug'!D15/2,0,'UAT8-Aug'!D46)-'UAT8-Aug'!D46</f>
        <v>0</v>
      </c>
      <c r="E54" s="431">
        <f>IF(E15&lt;'UAT8-Aug'!E15/2,0,'UAT8-Aug'!E46)-'UAT8-Aug'!E46</f>
        <v>-217500</v>
      </c>
      <c r="F54" s="431">
        <f>IF(F15&lt;'UAT8-Aug'!F15/2,0,'UAT8-Aug'!F46)-'UAT8-Aug'!F46</f>
        <v>0</v>
      </c>
      <c r="G54" s="431">
        <f>IF(G15&lt;'UAT8-Aug'!G15/2,0,'UAT8-Aug'!G46)-'UAT8-Aug'!G46</f>
        <v>0</v>
      </c>
      <c r="H54" s="431">
        <f>IF(H15&lt;'UAT8-Aug'!H15/2,0,'UAT8-Aug'!H46)-'UAT8-Aug'!H46</f>
        <v>0</v>
      </c>
      <c r="I54" s="431">
        <f>IF(I15&lt;'UAT8-Aug'!I15/2,0,'UAT8-Aug'!I46)-'UAT8-Aug'!I46</f>
        <v>0</v>
      </c>
      <c r="J54" s="431">
        <f>IF(J15&lt;'UAT8-Aug'!J15/2,0,'UAT8-Aug'!J46)-'UAT8-Aug'!J46</f>
        <v>0</v>
      </c>
      <c r="K54" s="431">
        <f>IF(K15&lt;'UAT8-Aug'!K15/2,0,'UAT8-Aug'!K46)-'UAT8-Aug'!K46</f>
        <v>0</v>
      </c>
      <c r="L54" s="431">
        <f>IF(L15&lt;'UAT8-Aug'!L15/2,0,'UAT8-Aug'!L46)-'UAT8-Aug'!L46</f>
        <v>0</v>
      </c>
      <c r="M54" s="431">
        <f>IF(M15&lt;'UAT8-Aug'!M15/2,0,'UAT8-Aug'!M46)-'UAT8-Aug'!M46</f>
        <v>0</v>
      </c>
      <c r="N54" s="431">
        <f>IF(N15&lt;'UAT8-Aug'!N15/2,0,'UAT8-Aug'!N46)-'UAT8-Aug'!N46</f>
        <v>0</v>
      </c>
      <c r="O54" s="431">
        <f>IF(O15&lt;'UAT8-Aug'!O15/2,0,'UAT8-Aug'!O46)-'UAT8-Aug'!O46</f>
        <v>0</v>
      </c>
      <c r="P54" s="495">
        <f t="shared" si="11"/>
        <v>-406500</v>
      </c>
      <c r="Q54" s="373"/>
      <c r="R54" s="373"/>
      <c r="S54" s="373"/>
      <c r="T54" s="373"/>
      <c r="U54" s="373"/>
      <c r="V54" s="562" t="s">
        <v>2</v>
      </c>
      <c r="W54" s="563">
        <v>91999910</v>
      </c>
      <c r="X54" s="564" t="s">
        <v>769</v>
      </c>
      <c r="Y54" s="564" t="s">
        <v>506</v>
      </c>
      <c r="Z54" s="565" t="s">
        <v>771</v>
      </c>
      <c r="AA54" s="561">
        <f>'UAT8-Aug'!AA56</f>
        <v>3500000</v>
      </c>
      <c r="AB54" s="567"/>
      <c r="AC54" s="568"/>
      <c r="AD54" s="287"/>
      <c r="AE54" s="287"/>
    </row>
    <row r="55" spans="1:31">
      <c r="A55" s="405" t="s">
        <v>111</v>
      </c>
      <c r="B55" s="325">
        <f>B136</f>
        <v>1275562</v>
      </c>
      <c r="C55" s="326">
        <f>C136</f>
        <v>0</v>
      </c>
      <c r="D55" s="326"/>
      <c r="E55" s="326">
        <f t="shared" ref="E55:O55" si="12">E136</f>
        <v>493085</v>
      </c>
      <c r="F55" s="326">
        <f t="shared" si="12"/>
        <v>2120000</v>
      </c>
      <c r="G55" s="326">
        <f t="shared" si="12"/>
        <v>13592700</v>
      </c>
      <c r="H55" s="326">
        <f t="shared" si="12"/>
        <v>15762305</v>
      </c>
      <c r="I55" s="326">
        <f t="shared" si="12"/>
        <v>14706169</v>
      </c>
      <c r="J55" s="326">
        <f t="shared" si="12"/>
        <v>5979750</v>
      </c>
      <c r="K55" s="326">
        <f t="shared" si="12"/>
        <v>3944680</v>
      </c>
      <c r="L55" s="326">
        <f t="shared" si="12"/>
        <v>257607</v>
      </c>
      <c r="M55" s="326">
        <f t="shared" si="12"/>
        <v>1231733</v>
      </c>
      <c r="N55" s="326">
        <f t="shared" si="12"/>
        <v>0</v>
      </c>
      <c r="O55" s="326">
        <f t="shared" si="12"/>
        <v>204545</v>
      </c>
      <c r="P55" s="338">
        <f t="shared" si="11"/>
        <v>59568136</v>
      </c>
      <c r="Q55" s="373"/>
      <c r="R55" s="373"/>
      <c r="S55" s="341"/>
      <c r="T55" s="341"/>
      <c r="U55" s="341"/>
      <c r="V55" s="562" t="s">
        <v>2</v>
      </c>
      <c r="W55" s="563">
        <v>91999911</v>
      </c>
      <c r="X55" s="564" t="s">
        <v>769</v>
      </c>
      <c r="Y55" s="564" t="s">
        <v>506</v>
      </c>
      <c r="Z55" s="565" t="s">
        <v>771</v>
      </c>
      <c r="AA55" s="561">
        <f>'UAT8-Aug'!AA57</f>
        <v>3500000</v>
      </c>
      <c r="AB55" s="567"/>
      <c r="AC55" s="568"/>
      <c r="AD55" s="287"/>
      <c r="AE55" s="287"/>
    </row>
    <row r="56" spans="1:31">
      <c r="A56" s="436" t="s">
        <v>512</v>
      </c>
      <c r="B56" s="326"/>
      <c r="C56" s="326"/>
      <c r="D56" s="326"/>
      <c r="E56" s="326"/>
      <c r="F56" s="326"/>
      <c r="G56" s="326"/>
      <c r="H56" s="326">
        <f>H124-H73</f>
        <v>328767</v>
      </c>
      <c r="I56" s="326"/>
      <c r="J56" s="326"/>
      <c r="K56" s="326"/>
      <c r="L56" s="326"/>
      <c r="M56" s="326"/>
      <c r="N56" s="326"/>
      <c r="O56" s="326"/>
      <c r="P56" s="338">
        <f t="shared" si="11"/>
        <v>328767</v>
      </c>
      <c r="Q56" s="373"/>
      <c r="R56" s="373"/>
      <c r="S56" s="373"/>
      <c r="T56" s="373"/>
      <c r="U56" s="373"/>
      <c r="V56" s="562" t="s">
        <v>2</v>
      </c>
      <c r="W56" s="563">
        <v>91999912</v>
      </c>
      <c r="X56" s="564" t="s">
        <v>769</v>
      </c>
      <c r="Y56" s="564" t="s">
        <v>506</v>
      </c>
      <c r="Z56" s="565" t="s">
        <v>771</v>
      </c>
      <c r="AA56" s="561">
        <f>'UAT8-Aug'!AA58</f>
        <v>3500000</v>
      </c>
      <c r="AB56" s="567"/>
      <c r="AC56" s="568"/>
      <c r="AD56" s="287"/>
      <c r="AE56" s="287"/>
    </row>
    <row r="57" spans="1:31">
      <c r="A57" s="436" t="s">
        <v>533</v>
      </c>
      <c r="B57" s="326">
        <f>IF(OR(B19="A",B19="B"),ROUND(2369796*B17*B20/365,0),ROUND(2466.55*$B$4*B17*B20/365,0))-B43</f>
        <v>0</v>
      </c>
      <c r="C57" s="326">
        <f>IF(OR(C19="A",C19="B"),ROUND(2369796*C17*C20/365,0),ROUND(2466.55*$B$4*C17*C20/365,0))-C43</f>
        <v>38956</v>
      </c>
      <c r="D57" s="326"/>
      <c r="E57" s="326">
        <f>IF(OR(E19="A",E19="B"),ROUND(2369796*E17*E20/365,0),ROUND(2466.55*$B$4*E17*E20/365,0))-E43</f>
        <v>292166</v>
      </c>
      <c r="F57" s="326">
        <f>IF(OR(F19="A",F19="B"),ROUND(2369796*F17*F20/365,0),ROUND(2466.55*$B$4*F17*F20/365,0))-F43</f>
        <v>0</v>
      </c>
      <c r="G57" s="326">
        <f>IF(OR(G19="A",G19="B"),ROUND(2369796*G17*G20/365,0),ROUND(2466.55*$B$4*G17*G20/365,0))-G43</f>
        <v>0</v>
      </c>
      <c r="H57" s="326">
        <f>IF(OR(H19="A",H19="B"),ROUND(2369796*H17*H20/365,0),ROUND(2466.55*$B$4*H17*H20/365,0))-H43</f>
        <v>4704353</v>
      </c>
      <c r="I57" s="326"/>
      <c r="J57" s="326"/>
      <c r="K57" s="326"/>
      <c r="L57" s="326"/>
      <c r="M57" s="326"/>
      <c r="N57" s="326"/>
      <c r="O57" s="326"/>
      <c r="P57" s="339">
        <f t="shared" si="11"/>
        <v>5035475</v>
      </c>
      <c r="Q57" s="373"/>
      <c r="R57" s="373"/>
      <c r="S57" s="373"/>
      <c r="T57" s="373"/>
      <c r="U57" s="373"/>
      <c r="V57" s="562" t="s">
        <v>2</v>
      </c>
      <c r="W57" s="563">
        <v>91999913</v>
      </c>
      <c r="X57" s="564" t="s">
        <v>769</v>
      </c>
      <c r="Y57" s="564" t="s">
        <v>506</v>
      </c>
      <c r="Z57" s="565" t="s">
        <v>771</v>
      </c>
      <c r="AA57" s="561">
        <f>'UAT8-Aug'!AA59</f>
        <v>3500000</v>
      </c>
      <c r="AB57" s="567"/>
      <c r="AC57" s="568"/>
      <c r="AD57" s="287"/>
      <c r="AE57" s="287"/>
    </row>
    <row r="58" spans="1:31">
      <c r="A58" s="436" t="s">
        <v>536</v>
      </c>
      <c r="B58" s="326"/>
      <c r="C58" s="326"/>
      <c r="D58" s="326"/>
      <c r="E58" s="326"/>
      <c r="F58" s="326"/>
      <c r="G58" s="326"/>
      <c r="H58" s="326">
        <f>H125</f>
        <v>575342</v>
      </c>
      <c r="I58" s="326"/>
      <c r="J58" s="326"/>
      <c r="K58" s="326"/>
      <c r="L58" s="326"/>
      <c r="M58" s="326"/>
      <c r="N58" s="326"/>
      <c r="O58" s="326"/>
      <c r="P58" s="338">
        <f t="shared" si="11"/>
        <v>575342</v>
      </c>
      <c r="Q58" s="373"/>
      <c r="R58" s="373"/>
      <c r="S58" s="373"/>
      <c r="T58" s="373"/>
      <c r="U58" s="373"/>
      <c r="V58" s="562" t="s">
        <v>2</v>
      </c>
      <c r="W58" s="563">
        <v>91999901</v>
      </c>
      <c r="X58" s="564" t="s">
        <v>770</v>
      </c>
      <c r="Y58" s="564" t="s">
        <v>506</v>
      </c>
      <c r="Z58" s="565">
        <v>3210</v>
      </c>
      <c r="AA58" s="561">
        <f>'UAT8-Aug'!AA60</f>
        <v>4000000</v>
      </c>
      <c r="AB58" s="564"/>
      <c r="AC58" s="566"/>
      <c r="AD58" s="287"/>
      <c r="AE58" s="287"/>
    </row>
    <row r="59" spans="1:31">
      <c r="A59" s="436" t="s">
        <v>537</v>
      </c>
      <c r="B59" s="326"/>
      <c r="C59" s="326"/>
      <c r="D59" s="326"/>
      <c r="E59" s="326"/>
      <c r="F59" s="326"/>
      <c r="G59" s="326"/>
      <c r="H59" s="326">
        <f>IF(OR(H19="A",H19="B"),0,ROUND(ROUND(297.1*$B$4,0)/365*H17,0))*H20</f>
        <v>1133294</v>
      </c>
      <c r="I59" s="326"/>
      <c r="J59" s="326"/>
      <c r="K59" s="326"/>
      <c r="L59" s="326"/>
      <c r="M59" s="326"/>
      <c r="N59" s="326"/>
      <c r="O59" s="326"/>
      <c r="P59" s="339">
        <f t="shared" si="11"/>
        <v>1133294</v>
      </c>
      <c r="Q59" s="373"/>
      <c r="R59" s="373"/>
      <c r="S59" s="373"/>
      <c r="T59" s="373"/>
      <c r="U59" s="373"/>
      <c r="V59" s="562" t="s">
        <v>2</v>
      </c>
      <c r="W59" s="563">
        <v>91999902</v>
      </c>
      <c r="X59" s="564" t="s">
        <v>770</v>
      </c>
      <c r="Y59" s="564" t="s">
        <v>506</v>
      </c>
      <c r="Z59" s="565">
        <v>3210</v>
      </c>
      <c r="AA59" s="561">
        <f>'UAT8-Aug'!AA61</f>
        <v>4000000</v>
      </c>
      <c r="AB59" s="564"/>
      <c r="AC59" s="566"/>
      <c r="AD59" s="287"/>
      <c r="AE59" s="287"/>
    </row>
    <row r="60" spans="1:31">
      <c r="A60" s="405"/>
      <c r="B60" s="365"/>
      <c r="C60" s="366"/>
      <c r="D60" s="366"/>
      <c r="E60" s="367"/>
      <c r="F60" s="366"/>
      <c r="G60" s="366"/>
      <c r="H60" s="366"/>
      <c r="I60" s="366"/>
      <c r="J60" s="366"/>
      <c r="K60" s="367"/>
      <c r="L60" s="367"/>
      <c r="M60" s="367"/>
      <c r="N60" s="367"/>
      <c r="O60" s="367"/>
      <c r="P60" s="338"/>
      <c r="Q60" s="373"/>
      <c r="R60" s="373"/>
      <c r="S60" s="373"/>
      <c r="T60" s="373"/>
      <c r="U60" s="373"/>
      <c r="V60" s="562" t="s">
        <v>2</v>
      </c>
      <c r="W60" s="563">
        <v>91999904</v>
      </c>
      <c r="X60" s="564" t="s">
        <v>769</v>
      </c>
      <c r="Y60" s="564" t="s">
        <v>506</v>
      </c>
      <c r="Z60" s="565">
        <v>3210</v>
      </c>
      <c r="AA60" s="561">
        <f>'UAT8-Aug'!AA62</f>
        <v>4000000</v>
      </c>
      <c r="AB60" s="564"/>
      <c r="AC60" s="566"/>
      <c r="AD60" s="287"/>
      <c r="AE60" s="287"/>
    </row>
    <row r="61" spans="1:31">
      <c r="A61" s="413" t="s">
        <v>4</v>
      </c>
      <c r="B61" s="359">
        <f t="shared" ref="B61:O61" si="13">SUM(B49:B60)</f>
        <v>1275562</v>
      </c>
      <c r="C61" s="360">
        <f t="shared" si="13"/>
        <v>1131376</v>
      </c>
      <c r="D61" s="360">
        <f t="shared" si="13"/>
        <v>0</v>
      </c>
      <c r="E61" s="360">
        <f t="shared" si="13"/>
        <v>785251</v>
      </c>
      <c r="F61" s="360">
        <f t="shared" si="13"/>
        <v>2120000</v>
      </c>
      <c r="G61" s="360">
        <f t="shared" si="13"/>
        <v>14039700</v>
      </c>
      <c r="H61" s="360">
        <f t="shared" si="13"/>
        <v>22951061</v>
      </c>
      <c r="I61" s="360">
        <f t="shared" si="13"/>
        <v>15153169</v>
      </c>
      <c r="J61" s="360">
        <f t="shared" si="13"/>
        <v>9260750</v>
      </c>
      <c r="K61" s="360">
        <f t="shared" si="13"/>
        <v>3944680</v>
      </c>
      <c r="L61" s="360">
        <f t="shared" si="13"/>
        <v>1832607</v>
      </c>
      <c r="M61" s="360">
        <f t="shared" si="13"/>
        <v>1231733</v>
      </c>
      <c r="N61" s="480">
        <f t="shared" si="13"/>
        <v>0</v>
      </c>
      <c r="O61" s="708">
        <f t="shared" si="13"/>
        <v>204545</v>
      </c>
      <c r="P61" s="338">
        <f>SUM(B61:O61)</f>
        <v>73930434</v>
      </c>
      <c r="Q61" s="373"/>
      <c r="R61" s="373"/>
      <c r="S61" s="373"/>
      <c r="T61" s="373"/>
      <c r="U61" s="373"/>
      <c r="V61" s="562" t="s">
        <v>2</v>
      </c>
      <c r="W61" s="563">
        <v>91999905</v>
      </c>
      <c r="X61" s="564" t="s">
        <v>769</v>
      </c>
      <c r="Y61" s="564" t="s">
        <v>506</v>
      </c>
      <c r="Z61" s="565">
        <v>3210</v>
      </c>
      <c r="AA61" s="561">
        <f>'UAT8-Aug'!AA63</f>
        <v>4000000</v>
      </c>
      <c r="AB61" s="564"/>
      <c r="AC61" s="566"/>
      <c r="AD61" s="287"/>
      <c r="AE61" s="287"/>
    </row>
    <row r="62" spans="1:31">
      <c r="A62" s="414"/>
      <c r="B62" s="325"/>
      <c r="C62" s="326"/>
      <c r="D62" s="326"/>
      <c r="E62" s="334"/>
      <c r="F62" s="326"/>
      <c r="G62" s="326"/>
      <c r="H62" s="326"/>
      <c r="I62" s="326"/>
      <c r="J62" s="326"/>
      <c r="K62" s="334"/>
      <c r="L62" s="334"/>
      <c r="M62" s="334"/>
      <c r="N62" s="334"/>
      <c r="O62" s="334"/>
      <c r="P62" s="338"/>
      <c r="Q62" s="373"/>
      <c r="R62" s="373"/>
      <c r="S62" s="373"/>
      <c r="T62" s="373"/>
      <c r="U62" s="373"/>
      <c r="V62" s="562" t="s">
        <v>2</v>
      </c>
      <c r="W62" s="563">
        <v>91999907</v>
      </c>
      <c r="X62" s="564" t="s">
        <v>769</v>
      </c>
      <c r="Y62" s="564" t="s">
        <v>506</v>
      </c>
      <c r="Z62" s="565">
        <v>3210</v>
      </c>
      <c r="AA62" s="561">
        <f>'UAT8-Aug'!AA64</f>
        <v>225</v>
      </c>
      <c r="AB62" s="564" t="s">
        <v>603</v>
      </c>
      <c r="AC62" s="566"/>
    </row>
    <row r="63" spans="1:31" ht="14.4" thickBot="1">
      <c r="A63" s="410" t="s">
        <v>5</v>
      </c>
      <c r="B63" s="327">
        <f t="shared" ref="B63:O63" si="14">B45-B61</f>
        <v>27863407</v>
      </c>
      <c r="C63" s="328">
        <f t="shared" si="14"/>
        <v>15310165</v>
      </c>
      <c r="D63" s="328">
        <f t="shared" si="14"/>
        <v>0</v>
      </c>
      <c r="E63" s="328">
        <f t="shared" si="14"/>
        <v>7083429</v>
      </c>
      <c r="F63" s="328">
        <f t="shared" si="14"/>
        <v>21664000</v>
      </c>
      <c r="G63" s="328">
        <f t="shared" si="14"/>
        <v>60216300</v>
      </c>
      <c r="H63" s="328">
        <f t="shared" si="14"/>
        <v>51156111</v>
      </c>
      <c r="I63" s="328">
        <f t="shared" si="14"/>
        <v>58377675</v>
      </c>
      <c r="J63" s="328">
        <f t="shared" si="14"/>
        <v>41877250</v>
      </c>
      <c r="K63" s="328">
        <f t="shared" si="14"/>
        <v>36258718</v>
      </c>
      <c r="L63" s="328">
        <f t="shared" si="14"/>
        <v>17048463</v>
      </c>
      <c r="M63" s="328">
        <f t="shared" si="14"/>
        <v>25421367</v>
      </c>
      <c r="N63" s="328">
        <f t="shared" si="14"/>
        <v>1117120</v>
      </c>
      <c r="O63" s="328">
        <f t="shared" si="14"/>
        <v>1840903</v>
      </c>
      <c r="P63" s="338">
        <f>SUM(B63:O63)</f>
        <v>365234908</v>
      </c>
      <c r="Q63" s="373"/>
      <c r="R63" s="373"/>
      <c r="S63" s="373"/>
      <c r="T63" s="373"/>
      <c r="U63" s="373"/>
      <c r="V63" s="562" t="s">
        <v>2</v>
      </c>
      <c r="W63" s="563">
        <v>91999908</v>
      </c>
      <c r="X63" s="564" t="s">
        <v>769</v>
      </c>
      <c r="Y63" s="564" t="s">
        <v>506</v>
      </c>
      <c r="Z63" s="565">
        <v>3210</v>
      </c>
      <c r="AA63" s="561">
        <f>'UAT8-Aug'!AA65</f>
        <v>225</v>
      </c>
      <c r="AB63" s="564" t="s">
        <v>603</v>
      </c>
      <c r="AC63" s="566"/>
    </row>
    <row r="64" spans="1:31" ht="14.4" thickTop="1">
      <c r="A64" s="415"/>
      <c r="B64" s="325"/>
      <c r="C64" s="326"/>
      <c r="D64" s="326"/>
      <c r="E64" s="334"/>
      <c r="F64" s="326"/>
      <c r="G64" s="326"/>
      <c r="H64" s="326"/>
      <c r="I64" s="326"/>
      <c r="J64" s="326"/>
      <c r="K64" s="334"/>
      <c r="L64" s="334"/>
      <c r="M64" s="334"/>
      <c r="N64" s="334"/>
      <c r="O64" s="334"/>
      <c r="P64" s="338"/>
      <c r="Q64" s="335"/>
      <c r="R64" s="335"/>
      <c r="S64" s="335"/>
      <c r="T64" s="335"/>
      <c r="U64" s="335"/>
      <c r="V64" s="562" t="s">
        <v>2</v>
      </c>
      <c r="W64" s="563">
        <v>91999909</v>
      </c>
      <c r="X64" s="564" t="s">
        <v>769</v>
      </c>
      <c r="Y64" s="564" t="s">
        <v>506</v>
      </c>
      <c r="Z64" s="565">
        <v>3210</v>
      </c>
      <c r="AA64" s="561">
        <f>'UAT8-Aug'!AA66</f>
        <v>4000000</v>
      </c>
      <c r="AB64" s="564"/>
      <c r="AC64" s="566"/>
    </row>
    <row r="65" spans="1:31" ht="15.6">
      <c r="A65" s="404" t="s">
        <v>62</v>
      </c>
      <c r="B65" s="368"/>
      <c r="C65" s="399"/>
      <c r="D65" s="399"/>
      <c r="E65" s="364"/>
      <c r="F65" s="399"/>
      <c r="G65" s="399"/>
      <c r="H65" s="400"/>
      <c r="I65" s="399"/>
      <c r="J65" s="399"/>
      <c r="K65" s="364"/>
      <c r="L65" s="364"/>
      <c r="M65" s="364"/>
      <c r="N65" s="364"/>
      <c r="O65" s="364"/>
      <c r="P65" s="660"/>
      <c r="Q65" s="373"/>
      <c r="R65" s="373"/>
      <c r="S65" s="373"/>
      <c r="T65" s="373"/>
      <c r="U65" s="373"/>
      <c r="V65" s="562" t="s">
        <v>2</v>
      </c>
      <c r="W65" s="563">
        <v>91999910</v>
      </c>
      <c r="X65" s="564" t="s">
        <v>769</v>
      </c>
      <c r="Y65" s="564" t="s">
        <v>506</v>
      </c>
      <c r="Z65" s="565">
        <v>3210</v>
      </c>
      <c r="AA65" s="561">
        <f>'UAT8-Aug'!AA67</f>
        <v>4000000</v>
      </c>
      <c r="AB65" s="567"/>
      <c r="AC65" s="568"/>
    </row>
    <row r="66" spans="1:31">
      <c r="A66" s="417" t="s">
        <v>570</v>
      </c>
      <c r="B66" s="326">
        <f>ROUND(MIN(B$129,29800000)*'New Hire'!C55,0)</f>
        <v>2142000</v>
      </c>
      <c r="C66" s="326">
        <f>ROUND(MIN(C$129,29800000)*'New Hire'!D55,0)</f>
        <v>1820700</v>
      </c>
      <c r="D66" s="326"/>
      <c r="E66" s="326">
        <f>ROUND(MIN(E$129,29800000)*'New Hire'!F55,0)</f>
        <v>2465000</v>
      </c>
      <c r="F66" s="326">
        <f>ROUND(MIN(F$129,29800000)*'New Hire'!G55,0)</f>
        <v>0</v>
      </c>
      <c r="G66" s="326">
        <f>ROUND(MIN(G$129,29800000)*'New Hire'!H55,0)</f>
        <v>1043000</v>
      </c>
      <c r="H66" s="326">
        <f>ROUND(MIN(H$129,29800000)*'New Hire'!I55,0)</f>
        <v>894000</v>
      </c>
      <c r="I66" s="326">
        <f>ROUND(MIN(I$129,29800000)*'New Hire'!J55,0)</f>
        <v>149000</v>
      </c>
      <c r="J66" s="326">
        <f>ROUND(MIN(J$129,29800000)*'New Hire'!K55,0)</f>
        <v>5066000</v>
      </c>
      <c r="K66" s="326">
        <f>ROUND(MIN(K$129,29800000)*'New Hire'!L55,0)</f>
        <v>0</v>
      </c>
      <c r="L66" s="326">
        <f>ROUND(MIN(L$129,29800000)*'New Hire'!M55,0)</f>
        <v>2550000</v>
      </c>
      <c r="M66" s="326">
        <f>ROUND(MIN(M$129,29800000)*'New Hire'!N55,0)</f>
        <v>0</v>
      </c>
      <c r="N66" s="326">
        <f>ROUND(MIN(N$129,29800000)*'New Hire'!O55,0)</f>
        <v>0</v>
      </c>
      <c r="O66" s="326">
        <f>ROUND(MIN(O$129,29800000)*'New Hire'!P55,0)</f>
        <v>0</v>
      </c>
      <c r="P66" s="339">
        <f t="shared" ref="P66:P73" si="15">SUM(B66:O66)</f>
        <v>16129700</v>
      </c>
      <c r="Q66" s="373"/>
      <c r="R66" s="373"/>
      <c r="S66" s="373"/>
      <c r="T66" s="373"/>
      <c r="U66" s="373"/>
      <c r="V66" s="562" t="s">
        <v>2</v>
      </c>
      <c r="W66" s="563">
        <v>91999911</v>
      </c>
      <c r="X66" s="564" t="s">
        <v>769</v>
      </c>
      <c r="Y66" s="564" t="s">
        <v>506</v>
      </c>
      <c r="Z66" s="565">
        <v>3210</v>
      </c>
      <c r="AA66" s="561">
        <f>'UAT8-Aug'!AA68</f>
        <v>4000000</v>
      </c>
      <c r="AB66" s="567"/>
      <c r="AC66" s="568"/>
    </row>
    <row r="67" spans="1:31">
      <c r="A67" s="513" t="s">
        <v>1454</v>
      </c>
      <c r="B67" s="431">
        <f>IF(B15&lt;'UAT8-Aug'!B15/2,0,'UAT8-Aug'!B58)-'UAT8-Aug'!B58</f>
        <v>-2142000</v>
      </c>
      <c r="C67" s="431">
        <f>IF(C15&lt;'UAT8-Aug'!C15/2,0,'UAT8-Aug'!C58)-'UAT8-Aug'!C58</f>
        <v>0</v>
      </c>
      <c r="D67" s="431">
        <f>IF(D15&lt;'UAT8-Aug'!D15/2,0,'UAT8-Aug'!D58)-'UAT8-Aug'!D58</f>
        <v>0</v>
      </c>
      <c r="E67" s="431">
        <f>IF(E15&lt;'UAT8-Aug'!E15/2,0,'UAT8-Aug'!E58)-'UAT8-Aug'!E58</f>
        <v>-2465000</v>
      </c>
      <c r="F67" s="431">
        <f>IF(F15&lt;'UAT8-Aug'!F15/2,0,'UAT8-Aug'!F58)-'UAT8-Aug'!F58</f>
        <v>0</v>
      </c>
      <c r="G67" s="431">
        <f>IF(G15&lt;'UAT8-Aug'!G15/2,0,'UAT8-Aug'!G58)-'UAT8-Aug'!G58</f>
        <v>0</v>
      </c>
      <c r="H67" s="431">
        <f>IF(H15&lt;'UAT8-Aug'!H15/2,0,'UAT8-Aug'!H58)-'UAT8-Aug'!H58</f>
        <v>0</v>
      </c>
      <c r="I67" s="431">
        <f>IF(I15&lt;'UAT8-Aug'!I15/2,0,'UAT8-Aug'!I58)-'UAT8-Aug'!I58</f>
        <v>0</v>
      </c>
      <c r="J67" s="431">
        <f>IF(J15&lt;'UAT8-Aug'!J15/2,0,'UAT8-Aug'!J58)-'UAT8-Aug'!J58</f>
        <v>0</v>
      </c>
      <c r="K67" s="431">
        <f>IF(K15&lt;'UAT8-Aug'!K15/2,0,'UAT8-Aug'!K58)-'UAT8-Aug'!K58</f>
        <v>0</v>
      </c>
      <c r="L67" s="431">
        <f>IF(L15&lt;'UAT8-Aug'!L15/2,0,'UAT8-Aug'!L58)-'UAT8-Aug'!L58</f>
        <v>0</v>
      </c>
      <c r="M67" s="431">
        <f>IF(M15&lt;'UAT8-Aug'!M15/2,0,'UAT8-Aug'!M58)-'UAT8-Aug'!M58</f>
        <v>0</v>
      </c>
      <c r="N67" s="431">
        <f>IF(N15&lt;'UAT8-Aug'!N15/2,0,'UAT8-Aug'!N58)-'UAT8-Aug'!N58</f>
        <v>0</v>
      </c>
      <c r="O67" s="431">
        <f>IF(O15&lt;'UAT8-Aug'!O15/2,0,'UAT8-Aug'!O58)-'UAT8-Aug'!O58</f>
        <v>0</v>
      </c>
      <c r="P67" s="657">
        <f t="shared" si="15"/>
        <v>-4607000</v>
      </c>
      <c r="Q67" s="335"/>
      <c r="R67" s="335"/>
      <c r="S67" s="335"/>
      <c r="T67" s="335"/>
      <c r="U67" s="335"/>
      <c r="V67" s="562" t="s">
        <v>2</v>
      </c>
      <c r="W67" s="563">
        <v>91999912</v>
      </c>
      <c r="X67" s="564" t="s">
        <v>769</v>
      </c>
      <c r="Y67" s="564" t="s">
        <v>506</v>
      </c>
      <c r="Z67" s="565">
        <v>3210</v>
      </c>
      <c r="AA67" s="561">
        <f>'UAT8-Aug'!AA69</f>
        <v>4000000</v>
      </c>
      <c r="AB67" s="567"/>
      <c r="AC67" s="568"/>
    </row>
    <row r="68" spans="1:31">
      <c r="A68" s="436" t="s">
        <v>571</v>
      </c>
      <c r="B68" s="326">
        <f>ROUND(MIN(B130,83600000)*'New Hire'!C58,0)</f>
        <v>126000</v>
      </c>
      <c r="C68" s="326">
        <f>ROUND(MIN(C130,83600000)*'New Hire'!D58,0)</f>
        <v>104040</v>
      </c>
      <c r="D68" s="326">
        <f>ROUND(MIN(D130,83600000)*'New Hire'!E58,0)</f>
        <v>0</v>
      </c>
      <c r="E68" s="326">
        <f>ROUND(MIN(E130,83600000)*'New Hire'!F58,0)</f>
        <v>145000</v>
      </c>
      <c r="F68" s="326">
        <f>ROUND(MIN(F130,83600000)*'New Hire'!G58,0)</f>
        <v>0</v>
      </c>
      <c r="G68" s="326">
        <f>ROUND(MIN(G130,83600000)*'New Hire'!H58,0)</f>
        <v>0</v>
      </c>
      <c r="H68" s="326">
        <f>ROUND(MIN(H130,83600000)*'New Hire'!I58,0)</f>
        <v>0</v>
      </c>
      <c r="I68" s="326">
        <f>ROUND(MIN(I130,83600000)*'New Hire'!J58,0)</f>
        <v>0</v>
      </c>
      <c r="J68" s="326">
        <f>ROUND(MIN(J130,83600000)*'New Hire'!K58,0)</f>
        <v>450000</v>
      </c>
      <c r="K68" s="326">
        <f>ROUND(MIN(K130,83600000)*'New Hire'!L58,0)</f>
        <v>0</v>
      </c>
      <c r="L68" s="326">
        <f>ROUND(MIN(L130,83600000)*'New Hire'!M58,0)</f>
        <v>150000</v>
      </c>
      <c r="M68" s="326">
        <f>ROUND(MIN(M130,83600000)*'New Hire'!N58,0)</f>
        <v>0</v>
      </c>
      <c r="N68" s="326">
        <f>ROUND(MIN(N130,83600000)*'New Hire'!O58,0)</f>
        <v>0</v>
      </c>
      <c r="O68" s="326">
        <f>ROUND(MIN(O130,83600000)*'New Hire'!P58,0)</f>
        <v>0</v>
      </c>
      <c r="P68" s="339">
        <f t="shared" si="15"/>
        <v>975040</v>
      </c>
      <c r="Q68" s="335"/>
      <c r="R68" s="335"/>
      <c r="S68" s="335"/>
      <c r="T68" s="335"/>
      <c r="U68" s="335"/>
      <c r="V68" s="562" t="s">
        <v>2</v>
      </c>
      <c r="W68" s="563">
        <v>91999913</v>
      </c>
      <c r="X68" s="564" t="s">
        <v>769</v>
      </c>
      <c r="Y68" s="564" t="s">
        <v>506</v>
      </c>
      <c r="Z68" s="565">
        <v>3210</v>
      </c>
      <c r="AA68" s="561">
        <f>'UAT8-Aug'!AA70</f>
        <v>4000000</v>
      </c>
      <c r="AB68" s="567"/>
      <c r="AC68" s="568"/>
    </row>
    <row r="69" spans="1:31">
      <c r="A69" s="452" t="s">
        <v>1455</v>
      </c>
      <c r="B69" s="431">
        <f>IF(B15&lt;'UAT8-Aug'!B15/2,0,'UAT8-Aug'!B59)-'UAT8-Aug'!B59</f>
        <v>-126000</v>
      </c>
      <c r="C69" s="431">
        <f>IF(C15&lt;'UAT8-Aug'!C15/2,0,'UAT8-Aug'!C59)-'UAT8-Aug'!C59</f>
        <v>0</v>
      </c>
      <c r="D69" s="431">
        <f>IF(D15&lt;'UAT8-Aug'!D15/2,0,'UAT8-Aug'!D59)-'UAT8-Aug'!D59</f>
        <v>0</v>
      </c>
      <c r="E69" s="431">
        <f>IF(E15&lt;'UAT8-Aug'!E15/2,0,'UAT8-Aug'!E59)-'UAT8-Aug'!E59</f>
        <v>-145000</v>
      </c>
      <c r="F69" s="431">
        <f>IF(F15&lt;'UAT8-Aug'!F15/2,0,'UAT8-Aug'!F59)-'UAT8-Aug'!F59</f>
        <v>0</v>
      </c>
      <c r="G69" s="431">
        <f>IF(G15&lt;'UAT8-Aug'!G15/2,0,'UAT8-Aug'!G59)-'UAT8-Aug'!G59</f>
        <v>0</v>
      </c>
      <c r="H69" s="431">
        <f>IF(H15&lt;'UAT8-Aug'!H15/2,0,'UAT8-Aug'!H59)-'UAT8-Aug'!H59</f>
        <v>0</v>
      </c>
      <c r="I69" s="431">
        <f>IF(I15&lt;'UAT8-Aug'!I15/2,0,'UAT8-Aug'!I59)-'UAT8-Aug'!I59</f>
        <v>0</v>
      </c>
      <c r="J69" s="431">
        <f>IF(J15&lt;'UAT8-Aug'!J15/2,0,'UAT8-Aug'!J59)-'UAT8-Aug'!J59</f>
        <v>0</v>
      </c>
      <c r="K69" s="431">
        <f>IF(K15&lt;'UAT8-Aug'!K15/2,0,'UAT8-Aug'!K59)-'UAT8-Aug'!K59</f>
        <v>0</v>
      </c>
      <c r="L69" s="431">
        <f>IF(L15&lt;'UAT8-Aug'!L15/2,0,'UAT8-Aug'!L59)-'UAT8-Aug'!L59</f>
        <v>0</v>
      </c>
      <c r="M69" s="431">
        <f>IF(M15&lt;'UAT8-Aug'!M15/2,0,'UAT8-Aug'!M59)-'UAT8-Aug'!M59</f>
        <v>0</v>
      </c>
      <c r="N69" s="431">
        <f>IF(N15&lt;'UAT8-Aug'!N15/2,0,'UAT8-Aug'!N59)-'UAT8-Aug'!N59</f>
        <v>0</v>
      </c>
      <c r="O69" s="431">
        <f>IF(O15&lt;'UAT8-Aug'!O15/2,0,'UAT8-Aug'!O59)-'UAT8-Aug'!O59</f>
        <v>0</v>
      </c>
      <c r="P69" s="657">
        <f t="shared" si="15"/>
        <v>-271000</v>
      </c>
      <c r="Q69" s="469"/>
      <c r="R69" s="469"/>
      <c r="S69" s="373"/>
      <c r="T69" s="373"/>
      <c r="U69" s="373"/>
      <c r="V69" s="562" t="s">
        <v>2</v>
      </c>
      <c r="W69" s="563">
        <v>91999901</v>
      </c>
      <c r="X69" s="564" t="s">
        <v>770</v>
      </c>
      <c r="Y69" s="564" t="s">
        <v>506</v>
      </c>
      <c r="Z69" s="565">
        <v>3501</v>
      </c>
      <c r="AA69" s="561">
        <f>'UAT8-Aug'!AA71</f>
        <v>2500000</v>
      </c>
      <c r="AB69" s="564"/>
      <c r="AC69" s="566"/>
    </row>
    <row r="70" spans="1:31">
      <c r="A70" s="436" t="s">
        <v>572</v>
      </c>
      <c r="B70" s="326">
        <f>ROUND(MIN(B$129,29800000)*'New Hire'!C61,0)</f>
        <v>378000</v>
      </c>
      <c r="C70" s="326">
        <f>ROUND(MIN(C$129,29800000)*'New Hire'!D61,0)</f>
        <v>312120</v>
      </c>
      <c r="D70" s="326"/>
      <c r="E70" s="326">
        <f>ROUND(MIN(E$129,29800000)*'New Hire'!F61,0)</f>
        <v>435000</v>
      </c>
      <c r="F70" s="326">
        <f>ROUND(MIN(F$129,29800000)*'New Hire'!G61,0)</f>
        <v>0</v>
      </c>
      <c r="G70" s="326">
        <f>ROUND(MIN(G$129,29800000)*'New Hire'!H61,0)</f>
        <v>894000</v>
      </c>
      <c r="H70" s="326">
        <f>ROUND(MIN(H$129,29800000)*'New Hire'!I61,0)</f>
        <v>894000</v>
      </c>
      <c r="I70" s="326">
        <f>ROUND(MIN(I$129,29800000)*'New Hire'!J61,0)</f>
        <v>894000</v>
      </c>
      <c r="J70" s="326">
        <f>ROUND(MIN(J$129,29800000)*'New Hire'!K61,0)</f>
        <v>894000</v>
      </c>
      <c r="K70" s="326">
        <f>ROUND(MIN(K$129,29800000)*'New Hire'!L61,0)</f>
        <v>0</v>
      </c>
      <c r="L70" s="326">
        <f>ROUND(MIN(L$129,29800000)*'New Hire'!M61,0)</f>
        <v>450000</v>
      </c>
      <c r="M70" s="326">
        <f>ROUND(MIN(M$129,29800000)*'New Hire'!N61,0)</f>
        <v>0</v>
      </c>
      <c r="N70" s="326">
        <f>ROUND(MIN(N$129,29800000)*'New Hire'!O61,0)</f>
        <v>0</v>
      </c>
      <c r="O70" s="326">
        <f>ROUND(MIN(O$129,29800000)*'New Hire'!P61,0)</f>
        <v>0</v>
      </c>
      <c r="P70" s="339">
        <f t="shared" si="15"/>
        <v>5151120</v>
      </c>
      <c r="Q70" s="335"/>
      <c r="R70" s="335"/>
      <c r="S70" s="335"/>
      <c r="T70" s="335"/>
      <c r="U70" s="335"/>
      <c r="V70" s="562" t="s">
        <v>2</v>
      </c>
      <c r="W70" s="563">
        <v>91999902</v>
      </c>
      <c r="X70" s="564" t="s">
        <v>769</v>
      </c>
      <c r="Y70" s="564" t="s">
        <v>506</v>
      </c>
      <c r="Z70" s="565">
        <v>3501</v>
      </c>
      <c r="AA70" s="561">
        <f>'UAT8-Aug'!AA72</f>
        <v>2500000</v>
      </c>
      <c r="AB70" s="564"/>
      <c r="AC70" s="566"/>
    </row>
    <row r="71" spans="1:31">
      <c r="A71" s="452" t="s">
        <v>1456</v>
      </c>
      <c r="B71" s="431">
        <f>IF(B15&lt;'UAT8-Aug'!B15/2,0,'UAT8-Aug'!B60)-'UAT8-Aug'!B60</f>
        <v>-378000</v>
      </c>
      <c r="C71" s="431">
        <f>IF(C15&lt;'UAT8-Aug'!C15/2,0,'UAT8-Aug'!C60)-'UAT8-Aug'!C60</f>
        <v>0</v>
      </c>
      <c r="D71" s="431">
        <f>IF(D15&lt;'UAT8-Aug'!D15/2,0,'UAT8-Aug'!D60)-'UAT8-Aug'!D60</f>
        <v>0</v>
      </c>
      <c r="E71" s="431">
        <f>IF(E15&lt;'UAT8-Aug'!E15/2,0,'UAT8-Aug'!E60)-'UAT8-Aug'!E60</f>
        <v>-435000</v>
      </c>
      <c r="F71" s="431">
        <f>IF(F15&lt;'UAT8-Aug'!F15/2,0,'UAT8-Aug'!F60)-'UAT8-Aug'!F60</f>
        <v>0</v>
      </c>
      <c r="G71" s="431">
        <f>IF(G15&lt;'UAT8-Aug'!G15/2,0,'UAT8-Aug'!G60)-'UAT8-Aug'!G60</f>
        <v>0</v>
      </c>
      <c r="H71" s="431">
        <f>IF(H15&lt;'UAT8-Aug'!H15/2,0,'UAT8-Aug'!H60)-'UAT8-Aug'!H60</f>
        <v>0</v>
      </c>
      <c r="I71" s="431">
        <f>IF(I15&lt;'UAT8-Aug'!I15/2,0,'UAT8-Aug'!I60)-'UAT8-Aug'!I60</f>
        <v>0</v>
      </c>
      <c r="J71" s="431">
        <f>IF(J15&lt;'UAT8-Aug'!J15/2,0,'UAT8-Aug'!J60)-'UAT8-Aug'!J60</f>
        <v>0</v>
      </c>
      <c r="K71" s="431">
        <f>IF(K15&lt;'UAT8-Aug'!K15/2,0,'UAT8-Aug'!K60)-'UAT8-Aug'!K60</f>
        <v>0</v>
      </c>
      <c r="L71" s="431">
        <f>IF(L15&lt;'UAT8-Aug'!L15/2,0,'UAT8-Aug'!L60)-'UAT8-Aug'!L60</f>
        <v>0</v>
      </c>
      <c r="M71" s="431">
        <f>IF(M15&lt;'UAT8-Aug'!M15/2,0,'UAT8-Aug'!M60)-'UAT8-Aug'!M60</f>
        <v>0</v>
      </c>
      <c r="N71" s="431">
        <f>IF(N15&lt;'UAT8-Aug'!N15/2,0,'UAT8-Aug'!N60)-'UAT8-Aug'!N60</f>
        <v>0</v>
      </c>
      <c r="O71" s="431">
        <f>IF(O15&lt;'UAT8-Aug'!O15/2,0,'UAT8-Aug'!O60)-'UAT8-Aug'!O60</f>
        <v>0</v>
      </c>
      <c r="P71" s="657">
        <f t="shared" si="15"/>
        <v>-813000</v>
      </c>
      <c r="V71" s="562" t="s">
        <v>2</v>
      </c>
      <c r="W71" s="563">
        <v>91999904</v>
      </c>
      <c r="X71" s="564" t="s">
        <v>769</v>
      </c>
      <c r="Y71" s="564" t="s">
        <v>506</v>
      </c>
      <c r="Z71" s="565">
        <v>3501</v>
      </c>
      <c r="AA71" s="561">
        <f>'UAT8-Aug'!AA73</f>
        <v>2500000</v>
      </c>
      <c r="AB71" s="564"/>
      <c r="AC71" s="566"/>
    </row>
    <row r="72" spans="1:31">
      <c r="A72" s="436" t="s">
        <v>1071</v>
      </c>
      <c r="B72" s="326">
        <f>IF(B66+B67+B49+B50=0,0,ROUND(MIN(B129,29800000)*2%,0))</f>
        <v>0</v>
      </c>
      <c r="C72" s="326">
        <f>IF(C66+C67+C49+C50=0,0,ROUND(MIN(C129,29800000)*2%,0))</f>
        <v>208080</v>
      </c>
      <c r="D72" s="326">
        <f>IF(D66+D67+D49+D50=0,0,ROUND(MIN(D129,29800000)*2%,0))</f>
        <v>0</v>
      </c>
      <c r="E72" s="326">
        <f>IF(E66+E67+E49+E50=0,0,ROUND(MIN(E129,29800000)*2%,0))</f>
        <v>0</v>
      </c>
      <c r="F72" s="326">
        <f>IF(F66+F67+F49+F50=0,0,ROUND(MIN(F129,29800000)*2%,0))</f>
        <v>0</v>
      </c>
      <c r="G72" s="326">
        <f>IF(G66+G67+G49+G50=0,0,ROUND(MIN(G129,29800000)*2%,0))</f>
        <v>596000</v>
      </c>
      <c r="H72" s="326">
        <f>IF(H66+H67+H49+H50=0,0,ROUND(MIN(H129,29800000)*2%,0))</f>
        <v>596000</v>
      </c>
      <c r="I72" s="326">
        <f>IF(I66+I67+I49+I50=0,0,ROUND(MIN(I129,29800000)*2%,0))</f>
        <v>596000</v>
      </c>
      <c r="J72" s="326">
        <f>IF(J66+J67+J49+J50=0,0,ROUND(MIN(J129,29800000)*2%,0))</f>
        <v>596000</v>
      </c>
      <c r="K72" s="326">
        <f>IF(K66+K67+K49+K50=0,0,ROUND(MIN(K129,29800000)*2%,0))</f>
        <v>0</v>
      </c>
      <c r="L72" s="326">
        <f>IF(L66+L67+L49+L50=0,0,ROUND(MIN(L129,29800000)*2%,0))</f>
        <v>300000</v>
      </c>
      <c r="M72" s="326">
        <f>IF(M66+M67+M49+M50=0,0,ROUND(MIN(M129,29800000)*2%,0))</f>
        <v>0</v>
      </c>
      <c r="N72" s="326">
        <f>IF(N66+N67+N49+N50=0,0,ROUND(MIN(N129,29800000)*2%,0))</f>
        <v>0</v>
      </c>
      <c r="O72" s="326">
        <f>IF(O66+O67+O49+O50=0,0,ROUND(MIN(O129,29800000)*2%,0))</f>
        <v>0</v>
      </c>
      <c r="P72" s="589">
        <f t="shared" si="15"/>
        <v>2892080</v>
      </c>
      <c r="Q72" s="335"/>
      <c r="R72" s="470"/>
      <c r="S72" s="335"/>
      <c r="T72" s="335"/>
      <c r="U72" s="335"/>
      <c r="V72" s="562" t="s">
        <v>2</v>
      </c>
      <c r="W72" s="563">
        <v>91999905</v>
      </c>
      <c r="X72" s="564" t="s">
        <v>769</v>
      </c>
      <c r="Y72" s="564" t="s">
        <v>506</v>
      </c>
      <c r="Z72" s="565">
        <v>3501</v>
      </c>
      <c r="AA72" s="561">
        <f>'UAT8-Aug'!AA74</f>
        <v>2500000</v>
      </c>
      <c r="AB72" s="567"/>
      <c r="AC72" s="568"/>
    </row>
    <row r="73" spans="1:31">
      <c r="A73" s="436" t="s">
        <v>510</v>
      </c>
      <c r="B73" s="326">
        <f>IF(OR(B19="A",B19="B"),B124,ROUND(B124*B13,0))</f>
        <v>657534</v>
      </c>
      <c r="C73" s="326">
        <f>IF(OR(C19="A",C19="B"),C124,ROUND(C124*C13,0))</f>
        <v>657534</v>
      </c>
      <c r="D73" s="326"/>
      <c r="E73" s="326">
        <f>IF(OR(E19="A",E19="B"),E124,ROUND(E124*E13,0))</f>
        <v>657534</v>
      </c>
      <c r="F73" s="326">
        <f>IF(OR(F19="A",F19="B"),F124,ROUND(F124*F13,0))</f>
        <v>657534</v>
      </c>
      <c r="G73" s="326">
        <f>IF(OR(G19="A",G19="B"),G124,ROUND(G124*G13,0))</f>
        <v>0</v>
      </c>
      <c r="H73" s="326">
        <f>IF(OR(H19="A",H19="B"),H124,ROUND(H124*H13,0))</f>
        <v>328767</v>
      </c>
      <c r="I73" s="326">
        <f>IF(OR(I19="A",I19="B"),I124,ROUND(I124*I13,0))</f>
        <v>0</v>
      </c>
      <c r="J73" s="326">
        <f>IF(OR(J19="A",J19="B"),J124,ROUND(J124*J13,0))</f>
        <v>0</v>
      </c>
      <c r="K73" s="326">
        <f>IF(OR(K19="A",K19="B"),K124,ROUND(K124*K13,0))</f>
        <v>0</v>
      </c>
      <c r="L73" s="326">
        <f>IF(OR(L19="A",L19="B"),L124,ROUND(L124*L13,0))</f>
        <v>0</v>
      </c>
      <c r="M73" s="326">
        <f>IF(OR(M19="A",M19="B"),M124,ROUND(M124*M13,0))</f>
        <v>0</v>
      </c>
      <c r="N73" s="326">
        <f>IF(OR(N19="A",N19="B"),N124,ROUND(N124*N13,0))</f>
        <v>0</v>
      </c>
      <c r="O73" s="326">
        <f>IF(OR(O19="A",O19="B"),O124,ROUND(O124*O13,0))</f>
        <v>0</v>
      </c>
      <c r="P73" s="339">
        <f t="shared" si="15"/>
        <v>2958903</v>
      </c>
      <c r="Q73" s="335"/>
      <c r="R73" s="470"/>
      <c r="S73" s="335"/>
      <c r="T73" s="335"/>
      <c r="U73" s="335"/>
      <c r="V73" s="562" t="s">
        <v>2</v>
      </c>
      <c r="W73" s="563">
        <v>91999909</v>
      </c>
      <c r="X73" s="564" t="s">
        <v>769</v>
      </c>
      <c r="Y73" s="564" t="s">
        <v>506</v>
      </c>
      <c r="Z73" s="565">
        <v>3501</v>
      </c>
      <c r="AA73" s="561">
        <f>'UAT8-Aug'!AA75</f>
        <v>2500000</v>
      </c>
      <c r="AB73" s="567"/>
      <c r="AC73" s="568"/>
    </row>
    <row r="74" spans="1:31">
      <c r="A74" s="405"/>
      <c r="B74" s="325"/>
      <c r="C74" s="326"/>
      <c r="D74" s="326"/>
      <c r="E74" s="334"/>
      <c r="F74" s="326"/>
      <c r="G74" s="326"/>
      <c r="H74" s="326"/>
      <c r="I74" s="326"/>
      <c r="J74" s="326"/>
      <c r="K74" s="334"/>
      <c r="L74" s="334"/>
      <c r="M74" s="334"/>
      <c r="N74" s="334"/>
      <c r="O74" s="334"/>
      <c r="P74" s="339"/>
      <c r="Q74" s="335"/>
      <c r="R74" s="335"/>
      <c r="S74" s="335"/>
      <c r="T74" s="335"/>
      <c r="U74" s="335"/>
      <c r="V74" s="562" t="s">
        <v>2</v>
      </c>
      <c r="W74" s="563">
        <v>91999910</v>
      </c>
      <c r="X74" s="564" t="s">
        <v>769</v>
      </c>
      <c r="Y74" s="564" t="s">
        <v>506</v>
      </c>
      <c r="Z74" s="565">
        <v>3501</v>
      </c>
      <c r="AA74" s="561">
        <f>'UAT8-Aug'!AA76</f>
        <v>2500000</v>
      </c>
      <c r="AB74" s="567"/>
      <c r="AC74" s="568"/>
    </row>
    <row r="75" spans="1:31" ht="15.6">
      <c r="A75" s="404" t="s">
        <v>474</v>
      </c>
      <c r="B75" s="325"/>
      <c r="C75" s="326"/>
      <c r="D75" s="326"/>
      <c r="E75" s="334"/>
      <c r="F75" s="326"/>
      <c r="G75" s="326"/>
      <c r="H75" s="326"/>
      <c r="I75" s="326"/>
      <c r="J75" s="326"/>
      <c r="K75" s="334"/>
      <c r="L75" s="334"/>
      <c r="M75" s="334"/>
      <c r="N75" s="334"/>
      <c r="O75" s="334"/>
      <c r="P75" s="339"/>
      <c r="Q75" s="335"/>
      <c r="R75" s="335"/>
      <c r="S75" s="335"/>
      <c r="T75" s="335"/>
      <c r="U75" s="335"/>
      <c r="V75" s="562" t="s">
        <v>2</v>
      </c>
      <c r="W75" s="563">
        <v>91000011</v>
      </c>
      <c r="X75" s="564" t="s">
        <v>769</v>
      </c>
      <c r="Y75" s="564" t="s">
        <v>506</v>
      </c>
      <c r="Z75" s="565">
        <v>3501</v>
      </c>
      <c r="AA75" s="561">
        <f>'UAT8-Aug'!AA77</f>
        <v>2500000</v>
      </c>
      <c r="AB75" s="567"/>
      <c r="AC75" s="568"/>
    </row>
    <row r="76" spans="1:31">
      <c r="A76" s="436" t="s">
        <v>475</v>
      </c>
      <c r="B76" s="326">
        <f>IF(OR(B11="1",B11="P"),ROUND(B178*B122,0),0)+'UAT8-Aug'!B65+ROUND(B178*B123,0)-ROUND(B178*'UAT8-Aug'!B88,0)</f>
        <v>4260536</v>
      </c>
      <c r="C76" s="326">
        <f>IF(OR(C11="1",C11="P"),ROUND(C178*C122,0),0)+'UAT8-Aug'!C65+ROUND(C178*C123,0)-ROUND(C178*'UAT8-Aug'!C88,0)</f>
        <v>3465862</v>
      </c>
      <c r="D76" s="326"/>
      <c r="E76" s="326"/>
      <c r="F76" s="326"/>
      <c r="G76" s="326"/>
      <c r="H76" s="326"/>
      <c r="I76" s="326"/>
      <c r="J76" s="326">
        <f>IF(OR(J11="1",J11="P"),ROUND(J178*J122,0),0)+'UAT8-Aug'!J65+ROUND(J178*J123,0)-ROUND(J178*'UAT8-Aug'!J88,0)</f>
        <v>21103451</v>
      </c>
      <c r="K76" s="326">
        <f>IF(OR(K11="1",K11="P"),ROUND(K178*K122,0),0)+'UAT8-Aug'!K65+ROUND(K178*K123,0)-ROUND(K178*'UAT8-Aug'!K88,0)</f>
        <v>6597703</v>
      </c>
      <c r="L76" s="326">
        <f>IF(OR(L11="1",L11="P"),ROUND(L178*L122,0),0)+'UAT8-Aug'!L65+ROUND(L178*L123,0)-ROUND(L178*'UAT8-Aug'!L88,0)</f>
        <v>41375485</v>
      </c>
      <c r="M76" s="326"/>
      <c r="N76" s="326"/>
      <c r="O76" s="326">
        <f>IF(OR(O11="1",O11="P"),ROUND(O178*O122,0),0)+'UAT8-Aug'!O65+ROUND(O178*O123,0)-ROUND(O178*'UAT8-Aug'!O88,0)</f>
        <v>1862070</v>
      </c>
      <c r="P76" s="339">
        <f>SUM(B76:O76)</f>
        <v>78665107</v>
      </c>
      <c r="Q76" s="335"/>
      <c r="R76" s="335"/>
      <c r="S76" s="335"/>
      <c r="T76" s="335"/>
      <c r="U76" s="335"/>
      <c r="V76" s="562" t="s">
        <v>2</v>
      </c>
      <c r="W76" s="563">
        <v>91999912</v>
      </c>
      <c r="X76" s="564" t="s">
        <v>769</v>
      </c>
      <c r="Y76" s="564" t="s">
        <v>506</v>
      </c>
      <c r="Z76" s="565">
        <v>3501</v>
      </c>
      <c r="AA76" s="561">
        <f>'UAT8-Aug'!AA78</f>
        <v>2500000</v>
      </c>
      <c r="AB76" s="564"/>
      <c r="AC76" s="566"/>
    </row>
    <row r="77" spans="1:31">
      <c r="A77" s="436" t="s">
        <v>482</v>
      </c>
      <c r="B77" s="584"/>
      <c r="C77" s="584">
        <f>'UAT8-Aug'!C66</f>
        <v>2.5</v>
      </c>
      <c r="D77" s="584"/>
      <c r="E77" s="584">
        <f>IF('New Hire'!F41&lt;'New Hire'!$Q$40,CEILING((NETWORKDAYS('New Hire'!F41,'New Hire'!$Q$40)+E182)/261,0.5),CEILING(E182/261,0.5))</f>
        <v>0.5</v>
      </c>
      <c r="F77" s="584">
        <f>IF('New Hire'!G41&lt;'New Hire'!$Q$40,CEILING((NETWORKDAYS('New Hire'!G41,'New Hire'!$Q$40)+F182)/261,0.5),CEILING(F182/261,0.5))</f>
        <v>0</v>
      </c>
      <c r="G77" s="584">
        <f>CEILING(ROUND(('UAT5-May'!G16+'UAT6-Jun'!G18+'UAT7-Jul'!G15+'UAT8-Aug'!G14+G14+G182)/261,2),0.5)</f>
        <v>0.5</v>
      </c>
      <c r="H77" s="584">
        <f>CEILING(ROUND(('UAT1-Jan'!AB70+'UAT1-Jan'!H14+'UAT2-Feb'!H14+'UAT3-Mar'!H14+'UAT4-Apr'!H14+'UAT5-May'!H15+'UAT6-Jun'!H18+'UAT7-Jul'!H15+'UAT8-Aug'!H14+H14+H182)/261,2),0.5)</f>
        <v>5.5</v>
      </c>
      <c r="I77" s="584">
        <f>CEILING(ROUND(('UAT1-Jan'!I14+'UAT2-Feb'!I14+'UAT3-Mar'!I14+'UAT4-Apr'!I14+'UAT5-May'!I15+'UAT6-Jun'!I18+'UAT7-Jul'!I15+'UAT8-Aug'!I14+I14+I182)/261,2),0.5)</f>
        <v>1</v>
      </c>
      <c r="J77" s="584"/>
      <c r="K77" s="584"/>
      <c r="L77" s="584"/>
      <c r="M77" s="584"/>
      <c r="N77" s="584">
        <f>IF('New Hire'!O41&lt;'New Hire'!$Q$40,CEILING((NETWORKDAYS('New Hire'!O41,'New Hire'!$Q$40)+N182)/261,0.5),CEILING(N182/261,0.5))</f>
        <v>1.5</v>
      </c>
      <c r="O77" s="584"/>
      <c r="P77" s="653">
        <f>SUM(B77:O77)</f>
        <v>11.5</v>
      </c>
      <c r="Q77" s="335"/>
      <c r="R77" s="335"/>
      <c r="S77" s="335"/>
      <c r="T77" s="335"/>
      <c r="U77" s="335"/>
      <c r="V77" s="562" t="s">
        <v>2</v>
      </c>
      <c r="W77" s="563">
        <v>91999913</v>
      </c>
      <c r="X77" s="564" t="s">
        <v>770</v>
      </c>
      <c r="Y77" s="564" t="s">
        <v>506</v>
      </c>
      <c r="Z77" s="565">
        <v>3501</v>
      </c>
      <c r="AA77" s="561">
        <f>'UAT8-Aug'!AA79</f>
        <v>2500000</v>
      </c>
      <c r="AB77" s="564"/>
      <c r="AC77" s="566"/>
    </row>
    <row r="78" spans="1:31">
      <c r="A78" s="436" t="s">
        <v>581</v>
      </c>
      <c r="B78" s="326">
        <f>B131+'UAT8-Aug'!B67-'UAT3-Mar'!B103</f>
        <v>62860000</v>
      </c>
      <c r="C78" s="326">
        <f>C131+'UAT8-Aug'!C67-'UAT3-Mar'!C103</f>
        <v>51660000</v>
      </c>
      <c r="D78" s="326"/>
      <c r="E78" s="326">
        <f>E131+'UAT8-Aug'!E67-'UAT3-Mar'!E103</f>
        <v>74460000</v>
      </c>
      <c r="F78" s="326">
        <f>F131+'UAT8-Aug'!F67-'UAT3-Mar'!F103</f>
        <v>84368000</v>
      </c>
      <c r="G78" s="326">
        <f>G131+'UAT8-Aug'!G67-'UAT3-Mar'!G103</f>
        <v>371280000</v>
      </c>
      <c r="H78" s="326">
        <f>H131+'UAT8-Aug'!H67-'UAT3-Mar'!H103</f>
        <v>445536000</v>
      </c>
      <c r="I78" s="326">
        <f>I131+'UAT8-Aug'!I67-'UAT3-Mar'!I103</f>
        <v>396805500</v>
      </c>
      <c r="J78" s="326">
        <f>J131+'UAT8-Aug'!J67-'UAT3-Mar'!J103</f>
        <v>257676000</v>
      </c>
      <c r="K78" s="326">
        <f>K131+'UAT8-Aug'!K67-'UAT3-Mar'!K103</f>
        <v>86260000</v>
      </c>
      <c r="L78" s="326">
        <f>L131+'UAT8-Aug'!L67-'UAT3-Mar'!L103</f>
        <v>239460000</v>
      </c>
      <c r="M78" s="326">
        <f>M131+'UAT8-Aug'!M67-'UAT3-Mar'!M103</f>
        <v>70460000</v>
      </c>
      <c r="N78" s="326">
        <f>N131+'UAT8-Aug'!N67-'UAT3-Mar'!N103</f>
        <v>73380000</v>
      </c>
      <c r="O78" s="326">
        <f>O131+'UAT8-Aug'!O67-'UAT3-Mar'!O103</f>
        <v>24750000</v>
      </c>
      <c r="P78" s="339">
        <f>SUM(B78:O78)</f>
        <v>2238955500</v>
      </c>
      <c r="Q78" s="335"/>
      <c r="R78" s="335"/>
      <c r="S78" s="335"/>
      <c r="T78" s="335"/>
      <c r="U78" s="335"/>
      <c r="V78" s="562" t="s">
        <v>2</v>
      </c>
      <c r="W78" s="563">
        <v>91999901</v>
      </c>
      <c r="X78" s="564" t="s">
        <v>769</v>
      </c>
      <c r="Y78" s="564" t="s">
        <v>506</v>
      </c>
      <c r="Z78" s="565">
        <v>3525</v>
      </c>
      <c r="AA78" s="561">
        <f>'UAT8-Aug'!AA80</f>
        <v>730000</v>
      </c>
      <c r="AB78" s="564"/>
      <c r="AC78" s="566"/>
    </row>
    <row r="79" spans="1:31" s="5" customFormat="1">
      <c r="A79" s="436" t="s">
        <v>1138</v>
      </c>
      <c r="B79" s="7">
        <v>8</v>
      </c>
      <c r="C79" s="7"/>
      <c r="D79" s="7"/>
      <c r="E79" s="7">
        <v>15</v>
      </c>
      <c r="F79" s="7"/>
      <c r="G79" s="7"/>
      <c r="H79" s="7"/>
      <c r="I79" s="7"/>
      <c r="J79" s="7">
        <v>8</v>
      </c>
      <c r="K79" s="7"/>
      <c r="L79" s="7"/>
      <c r="M79" s="7">
        <v>120</v>
      </c>
      <c r="N79" s="7">
        <v>10</v>
      </c>
      <c r="O79" s="7"/>
      <c r="P79" s="653">
        <f>SUM(B79:O79)</f>
        <v>161</v>
      </c>
      <c r="Q79" s="335"/>
      <c r="R79" s="335"/>
      <c r="S79" s="335"/>
      <c r="T79" s="335"/>
      <c r="U79" s="335"/>
      <c r="V79" s="562" t="s">
        <v>2</v>
      </c>
      <c r="W79" s="563">
        <v>91999902</v>
      </c>
      <c r="X79" s="564" t="s">
        <v>769</v>
      </c>
      <c r="Y79" s="564" t="s">
        <v>506</v>
      </c>
      <c r="Z79" s="565">
        <v>3525</v>
      </c>
      <c r="AA79" s="561">
        <f>'UAT8-Aug'!AA81</f>
        <v>730000</v>
      </c>
      <c r="AB79" s="564"/>
      <c r="AC79" s="566"/>
      <c r="AD79"/>
      <c r="AE79"/>
    </row>
    <row r="80" spans="1:31" s="5" customFormat="1">
      <c r="A80" s="405"/>
      <c r="B80" s="325"/>
      <c r="C80" s="326"/>
      <c r="D80" s="326"/>
      <c r="E80" s="334"/>
      <c r="F80" s="326"/>
      <c r="G80" s="326"/>
      <c r="H80" s="326"/>
      <c r="I80" s="326"/>
      <c r="J80" s="326"/>
      <c r="K80" s="334"/>
      <c r="L80" s="334"/>
      <c r="M80" s="334"/>
      <c r="N80" s="334"/>
      <c r="O80" s="334"/>
      <c r="P80" s="339"/>
      <c r="Q80" s="341"/>
      <c r="R80" s="470"/>
      <c r="S80" s="335"/>
      <c r="T80" s="335"/>
      <c r="U80" s="335"/>
      <c r="V80" s="562" t="s">
        <v>2</v>
      </c>
      <c r="W80" s="563">
        <v>91999904</v>
      </c>
      <c r="X80" s="564" t="s">
        <v>769</v>
      </c>
      <c r="Y80" s="564" t="s">
        <v>506</v>
      </c>
      <c r="Z80" s="565">
        <v>3525</v>
      </c>
      <c r="AA80" s="561">
        <f>'UAT8-Aug'!AA82</f>
        <v>730000</v>
      </c>
      <c r="AB80" s="567"/>
      <c r="AC80" s="568"/>
      <c r="AD80"/>
      <c r="AE80"/>
    </row>
    <row r="81" spans="1:31" s="5" customFormat="1" ht="15.6">
      <c r="A81" s="404" t="s">
        <v>835</v>
      </c>
      <c r="B81" s="468"/>
      <c r="C81" s="468"/>
      <c r="D81" s="468"/>
      <c r="E81" s="468"/>
      <c r="F81" s="468"/>
      <c r="G81" s="468"/>
      <c r="H81" s="468"/>
      <c r="I81" s="468"/>
      <c r="J81" s="559"/>
      <c r="K81" s="468"/>
      <c r="L81" s="468"/>
      <c r="M81" s="468"/>
      <c r="N81" s="468"/>
      <c r="O81" s="468"/>
      <c r="P81" s="339"/>
      <c r="Q81" s="341"/>
      <c r="R81" s="341"/>
      <c r="S81" s="341"/>
      <c r="T81" s="341"/>
      <c r="U81" s="341"/>
      <c r="V81" s="562" t="s">
        <v>2</v>
      </c>
      <c r="W81" s="563">
        <v>91999905</v>
      </c>
      <c r="X81" s="564" t="s">
        <v>769</v>
      </c>
      <c r="Y81" s="564" t="s">
        <v>506</v>
      </c>
      <c r="Z81" s="565">
        <v>3525</v>
      </c>
      <c r="AA81" s="561">
        <f>'UAT8-Aug'!AA83</f>
        <v>730000</v>
      </c>
      <c r="AB81" s="567"/>
      <c r="AC81" s="568"/>
      <c r="AD81"/>
      <c r="AE81"/>
    </row>
    <row r="82" spans="1:31" s="5" customFormat="1">
      <c r="A82" s="462" t="s">
        <v>1120</v>
      </c>
      <c r="B82" s="334">
        <f>ROUND(B116*(B159+B160),0)</f>
        <v>2869880</v>
      </c>
      <c r="C82" s="334">
        <f>ROUND(C116*(C159+C160),0)</f>
        <v>10323922</v>
      </c>
      <c r="D82" s="334"/>
      <c r="E82" s="334">
        <f>ROUND(E116*(E159+E160),0)</f>
        <v>0</v>
      </c>
      <c r="F82" s="334">
        <f>ROUND(F116*(F159+F160),0)</f>
        <v>18000000</v>
      </c>
      <c r="G82" s="334">
        <f>ROUND(G116*(G159+G160),0)</f>
        <v>0</v>
      </c>
      <c r="H82" s="334">
        <f>ROUND(H116*(H159+H160),0)</f>
        <v>18819751</v>
      </c>
      <c r="I82" s="334">
        <f>ROUND(I116*(I159+I160),0)</f>
        <v>0</v>
      </c>
      <c r="J82" s="334">
        <f>ROUND(J116*(J159+J160),0)</f>
        <v>0</v>
      </c>
      <c r="K82" s="334">
        <f>ROUND(K116*(K159+K160),0)</f>
        <v>3806728</v>
      </c>
      <c r="L82" s="334">
        <f>ROUND(L116*(L159+L160),0)</f>
        <v>3116233</v>
      </c>
      <c r="M82" s="334">
        <f>ROUND(M116*(M159+M160),0)</f>
        <v>0</v>
      </c>
      <c r="N82" s="334">
        <f>ROUND(N116*(N159+N160),0)</f>
        <v>0</v>
      </c>
      <c r="O82" s="334">
        <f>ROUND(O116*(O159+O160),0)</f>
        <v>0</v>
      </c>
      <c r="P82" s="339">
        <f>SUM(B82:O82)</f>
        <v>56936514</v>
      </c>
      <c r="Q82" s="341"/>
      <c r="R82" s="374"/>
      <c r="S82" s="374"/>
      <c r="T82" s="374"/>
      <c r="U82" s="374"/>
      <c r="V82" s="562" t="s">
        <v>2</v>
      </c>
      <c r="W82" s="563">
        <v>91999909</v>
      </c>
      <c r="X82" s="564" t="s">
        <v>769</v>
      </c>
      <c r="Y82" s="564" t="s">
        <v>506</v>
      </c>
      <c r="Z82" s="565">
        <v>3525</v>
      </c>
      <c r="AA82" s="561">
        <f>'UAT8-Aug'!AA84</f>
        <v>730000</v>
      </c>
      <c r="AB82" s="567"/>
      <c r="AC82" s="568"/>
      <c r="AD82"/>
      <c r="AE82"/>
    </row>
    <row r="83" spans="1:31" s="5" customFormat="1">
      <c r="A83" s="462" t="s">
        <v>832</v>
      </c>
      <c r="B83" s="334">
        <f>ROUND(B116*B157,0)</f>
        <v>10889989</v>
      </c>
      <c r="C83" s="334">
        <f>ROUND(C116*C157,0)</f>
        <v>9231507</v>
      </c>
      <c r="D83" s="334"/>
      <c r="E83" s="334">
        <f>ROUND(E116*E157,0)</f>
        <v>13384640</v>
      </c>
      <c r="F83" s="334">
        <f>ROUND(F116*F157,0)</f>
        <v>14400000</v>
      </c>
      <c r="G83" s="334">
        <f>ROUND(G116*G157,0)</f>
        <v>43756776</v>
      </c>
      <c r="H83" s="334">
        <f>ROUND(H116*H157,0)</f>
        <v>74467319</v>
      </c>
      <c r="I83" s="334">
        <f>ROUND(I116*I157,0)</f>
        <v>0</v>
      </c>
      <c r="J83" s="334">
        <f>ROUND(J116*J157,0)</f>
        <v>37895165</v>
      </c>
      <c r="K83" s="334">
        <f>ROUND(K116*K157,0)</f>
        <v>15188836</v>
      </c>
      <c r="L83" s="334">
        <f>ROUND(L116*L157,0)</f>
        <v>13846080</v>
      </c>
      <c r="M83" s="334">
        <f>ROUND(M116*M157,0)</f>
        <v>12923040</v>
      </c>
      <c r="N83" s="334">
        <f>ROUND(N116*N157,0)</f>
        <v>12592883</v>
      </c>
      <c r="O83" s="334">
        <f>ROUND(O116*O157,0)</f>
        <v>2761585</v>
      </c>
      <c r="P83" s="339">
        <f>SUM(B83:O83)</f>
        <v>261337820</v>
      </c>
      <c r="Q83" s="341"/>
      <c r="R83" s="341"/>
      <c r="S83" s="341"/>
      <c r="T83" s="341"/>
      <c r="U83" s="341"/>
      <c r="V83" s="562" t="s">
        <v>2</v>
      </c>
      <c r="W83" s="563">
        <v>91999910</v>
      </c>
      <c r="X83" s="564" t="s">
        <v>769</v>
      </c>
      <c r="Y83" s="564" t="s">
        <v>506</v>
      </c>
      <c r="Z83" s="565">
        <v>3525</v>
      </c>
      <c r="AA83" s="561">
        <f>'UAT8-Aug'!AA85</f>
        <v>730000</v>
      </c>
      <c r="AB83" s="564"/>
      <c r="AC83" s="566"/>
      <c r="AD83"/>
      <c r="AE83"/>
    </row>
    <row r="84" spans="1:31" s="5" customFormat="1">
      <c r="A84" s="462" t="s">
        <v>833</v>
      </c>
      <c r="B84" s="334">
        <f>ROUND(ROUND(ROUND(ROUND((B178+B170+B171)*B13,0)*12*B14*AB35,0)/261,0)/10,0)+'UAT8-Aug'!B73</f>
        <v>3375064</v>
      </c>
      <c r="C84" s="334"/>
      <c r="D84" s="334"/>
      <c r="E84" s="334"/>
      <c r="F84" s="334"/>
      <c r="G84" s="334"/>
      <c r="H84" s="334">
        <f>ROUND(ROUND(ROUND(ROUND((H178+H170+H171)*H13,0)*12*H14*AB36,0)/261,0)/10,0)+'UAT8-Aug'!H73</f>
        <v>18503400</v>
      </c>
      <c r="I84" s="334"/>
      <c r="J84" s="444"/>
      <c r="K84" s="334"/>
      <c r="L84" s="334"/>
      <c r="M84" s="334"/>
      <c r="N84" s="334"/>
      <c r="O84" s="334"/>
      <c r="P84" s="339">
        <f>SUM(B84:O84)</f>
        <v>21878464</v>
      </c>
      <c r="Q84" s="341"/>
      <c r="R84" s="341"/>
      <c r="S84" s="341"/>
      <c r="T84" s="341"/>
      <c r="U84" s="341"/>
      <c r="V84" s="562" t="s">
        <v>2</v>
      </c>
      <c r="W84" s="563">
        <v>91000011</v>
      </c>
      <c r="X84" s="564" t="s">
        <v>769</v>
      </c>
      <c r="Y84" s="564" t="s">
        <v>506</v>
      </c>
      <c r="Z84" s="565">
        <v>3525</v>
      </c>
      <c r="AA84" s="561">
        <f>'UAT8-Aug'!AA86</f>
        <v>730000</v>
      </c>
      <c r="AB84" s="564"/>
      <c r="AC84" s="566"/>
      <c r="AD84"/>
      <c r="AE84"/>
    </row>
    <row r="85" spans="1:31" s="5" customFormat="1">
      <c r="A85" s="462" t="s">
        <v>834</v>
      </c>
      <c r="B85" s="334"/>
      <c r="C85" s="334">
        <f>ROUND(C77*C178*C13*50%,0)</f>
        <v>6975000</v>
      </c>
      <c r="D85" s="334"/>
      <c r="E85" s="334"/>
      <c r="F85" s="334"/>
      <c r="G85" s="334"/>
      <c r="H85" s="334">
        <f>ROUND(H77*H178*H13*50%,0)</f>
        <v>156343688</v>
      </c>
      <c r="I85" s="334"/>
      <c r="J85" s="334"/>
      <c r="K85" s="334"/>
      <c r="L85" s="334"/>
      <c r="M85" s="334"/>
      <c r="N85" s="334">
        <f>ROUND(N77*N164*N13*50%,0)</f>
        <v>6000000</v>
      </c>
      <c r="O85" s="334">
        <f>ROUND(O77*O164*O13*50%,0)</f>
        <v>0</v>
      </c>
      <c r="P85" s="339">
        <f>SUM(B85:O85)</f>
        <v>169318688</v>
      </c>
      <c r="Q85" s="341"/>
      <c r="R85" s="341"/>
      <c r="S85" s="341"/>
      <c r="T85" s="341"/>
      <c r="U85" s="341"/>
      <c r="V85" s="562" t="s">
        <v>2</v>
      </c>
      <c r="W85" s="563">
        <v>91999912</v>
      </c>
      <c r="X85" s="564" t="s">
        <v>769</v>
      </c>
      <c r="Y85" s="564" t="s">
        <v>506</v>
      </c>
      <c r="Z85" s="565">
        <v>3525</v>
      </c>
      <c r="AA85" s="561">
        <f>'UAT8-Aug'!AA87</f>
        <v>730000</v>
      </c>
      <c r="AB85" s="564"/>
      <c r="AC85" s="566"/>
      <c r="AD85"/>
      <c r="AE85"/>
    </row>
    <row r="86" spans="1:31" s="5" customFormat="1">
      <c r="A86" s="462"/>
      <c r="B86" s="334"/>
      <c r="C86" s="334"/>
      <c r="D86" s="334"/>
      <c r="E86" s="334"/>
      <c r="F86" s="334"/>
      <c r="G86" s="334"/>
      <c r="H86" s="334"/>
      <c r="I86" s="334"/>
      <c r="J86" s="334"/>
      <c r="K86" s="334"/>
      <c r="L86" s="334"/>
      <c r="M86" s="334"/>
      <c r="N86" s="334"/>
      <c r="O86" s="334"/>
      <c r="P86" s="339"/>
      <c r="Q86" s="341"/>
      <c r="R86" s="341"/>
      <c r="S86" s="341"/>
      <c r="T86" s="341"/>
      <c r="U86" s="341"/>
      <c r="V86" s="562" t="s">
        <v>2</v>
      </c>
      <c r="W86" s="563">
        <v>91999913</v>
      </c>
      <c r="X86" s="564" t="s">
        <v>769</v>
      </c>
      <c r="Y86" s="564" t="s">
        <v>506</v>
      </c>
      <c r="Z86" s="565">
        <v>3525</v>
      </c>
      <c r="AA86" s="561">
        <f>'UAT8-Aug'!AA88</f>
        <v>730000</v>
      </c>
      <c r="AB86" s="564"/>
      <c r="AC86" s="566"/>
      <c r="AD86"/>
      <c r="AE86"/>
    </row>
    <row r="87" spans="1:31" s="5" customFormat="1" ht="15.6">
      <c r="A87" s="404" t="s">
        <v>691</v>
      </c>
      <c r="B87" s="325"/>
      <c r="C87" s="326"/>
      <c r="D87" s="326"/>
      <c r="E87" s="334"/>
      <c r="F87" s="326"/>
      <c r="G87" s="326"/>
      <c r="H87" s="326"/>
      <c r="I87" s="326"/>
      <c r="J87" s="326"/>
      <c r="K87" s="334"/>
      <c r="L87" s="334"/>
      <c r="M87" s="334"/>
      <c r="N87" s="334"/>
      <c r="O87" s="334"/>
      <c r="P87" s="339"/>
      <c r="Q87" s="341"/>
      <c r="R87" s="341"/>
      <c r="S87" s="341"/>
      <c r="T87" s="341"/>
      <c r="U87" s="341"/>
      <c r="V87" s="42"/>
      <c r="W87" s="43"/>
      <c r="X87" s="13"/>
      <c r="Y87" s="13"/>
      <c r="Z87" s="61"/>
      <c r="AA87" s="356"/>
      <c r="AB87" s="13"/>
      <c r="AC87" s="18"/>
      <c r="AD87"/>
      <c r="AE87"/>
    </row>
    <row r="88" spans="1:31" s="5" customFormat="1">
      <c r="A88" s="483" t="s">
        <v>1378</v>
      </c>
      <c r="B88" s="484"/>
      <c r="C88" s="484"/>
      <c r="D88" s="484"/>
      <c r="E88" s="484"/>
      <c r="F88" s="484"/>
      <c r="G88" s="484"/>
      <c r="H88" s="484"/>
      <c r="I88" s="484"/>
      <c r="J88" s="484"/>
      <c r="K88" s="484"/>
      <c r="L88" s="484"/>
      <c r="M88" s="484">
        <f>ROUND('UAT8-Aug'!M81*SUM(AC91:AC93)*100%,0)</f>
        <v>1211550</v>
      </c>
      <c r="N88" s="484"/>
      <c r="O88" s="432"/>
      <c r="P88" s="657">
        <f t="shared" ref="P88:P112" si="16">SUM(B88:O88)</f>
        <v>1211550</v>
      </c>
      <c r="Q88" s="341"/>
      <c r="R88" s="341"/>
      <c r="S88" s="341"/>
      <c r="T88" s="341"/>
      <c r="U88" s="341"/>
      <c r="V88" s="42"/>
      <c r="W88" s="43"/>
      <c r="X88" s="13"/>
      <c r="Y88" s="13"/>
      <c r="Z88" s="61"/>
      <c r="AA88" s="356"/>
      <c r="AB88" s="13"/>
      <c r="AC88" s="18"/>
      <c r="AD88"/>
      <c r="AE88"/>
    </row>
    <row r="89" spans="1:31" s="5" customFormat="1">
      <c r="A89" s="509" t="s">
        <v>1354</v>
      </c>
      <c r="B89" s="484"/>
      <c r="C89" s="484"/>
      <c r="D89" s="484"/>
      <c r="E89" s="484"/>
      <c r="F89" s="484"/>
      <c r="G89" s="484"/>
      <c r="H89" s="484"/>
      <c r="I89" s="484"/>
      <c r="J89" s="484"/>
      <c r="K89" s="484"/>
      <c r="L89" s="484"/>
      <c r="M89" s="484">
        <f>ROUND('UAT8-Aug'!M81*SUM(AC91:AC93)*100%,0)</f>
        <v>1211550</v>
      </c>
      <c r="N89" s="484"/>
      <c r="O89" s="432"/>
      <c r="P89" s="657">
        <f t="shared" si="16"/>
        <v>1211550</v>
      </c>
      <c r="Q89" s="341"/>
      <c r="R89" s="341"/>
      <c r="S89" s="341"/>
      <c r="T89" s="341"/>
      <c r="U89" s="341"/>
      <c r="V89" s="42"/>
      <c r="W89" s="43"/>
      <c r="X89" s="13"/>
      <c r="Y89" s="13"/>
      <c r="Z89" s="61"/>
      <c r="AA89" s="356"/>
      <c r="AB89" s="13"/>
      <c r="AC89" s="18"/>
      <c r="AD89"/>
      <c r="AE89"/>
    </row>
    <row r="90" spans="1:31" s="5" customFormat="1">
      <c r="A90" s="703" t="s">
        <v>784</v>
      </c>
      <c r="B90" s="515"/>
      <c r="C90" s="515"/>
      <c r="D90" s="515"/>
      <c r="E90" s="515"/>
      <c r="F90" s="704"/>
      <c r="G90" s="515"/>
      <c r="H90" s="515"/>
      <c r="I90" s="515"/>
      <c r="J90" s="515"/>
      <c r="K90" s="515"/>
      <c r="L90" s="704">
        <f>ROUND('New Hire'!M81/1826+'New Hire'!M84/1826*50%+256/1826,4)</f>
        <v>0.90010000000000001</v>
      </c>
      <c r="M90" s="515"/>
      <c r="N90" s="515"/>
      <c r="O90" s="444"/>
      <c r="P90" s="709">
        <f t="shared" si="16"/>
        <v>0.90010000000000001</v>
      </c>
      <c r="Q90" s="516"/>
      <c r="R90" s="516"/>
      <c r="S90" s="516"/>
      <c r="T90" s="516"/>
      <c r="U90" s="516"/>
      <c r="V90" s="24" t="s">
        <v>57</v>
      </c>
      <c r="W90" s="37" t="s">
        <v>67</v>
      </c>
      <c r="X90" s="37" t="s">
        <v>69</v>
      </c>
      <c r="Y90" s="37" t="s">
        <v>70</v>
      </c>
      <c r="Z90" s="62" t="s">
        <v>424</v>
      </c>
      <c r="AA90" s="357" t="s">
        <v>425</v>
      </c>
      <c r="AB90" s="37" t="s">
        <v>56</v>
      </c>
      <c r="AC90" s="38"/>
      <c r="AD90"/>
      <c r="AE90"/>
    </row>
    <row r="91" spans="1:31" s="5" customFormat="1">
      <c r="A91" s="703" t="s">
        <v>786</v>
      </c>
      <c r="B91" s="704">
        <f>ROUND((1826-'New Hire'!C82-B181)/1826*'New Hire'!C83%,4)</f>
        <v>0.98740000000000006</v>
      </c>
      <c r="C91" s="704"/>
      <c r="D91" s="704"/>
      <c r="E91" s="704"/>
      <c r="F91" s="704"/>
      <c r="G91" s="704"/>
      <c r="H91" s="704">
        <f>ROUND(ROUND((1826-H181)/1826,4)*'New Hire'!I83%,4)</f>
        <v>0.49869999999999998</v>
      </c>
      <c r="I91" s="515"/>
      <c r="J91" s="515"/>
      <c r="K91" s="704">
        <f>ROUND((1826-K181)/1826*'New Hire'!L83%,4)</f>
        <v>0.99950000000000006</v>
      </c>
      <c r="L91" s="704"/>
      <c r="M91" s="515"/>
      <c r="N91" s="515"/>
      <c r="O91" s="444"/>
      <c r="P91" s="709">
        <f t="shared" si="16"/>
        <v>2.4855999999999998</v>
      </c>
      <c r="Q91"/>
      <c r="R91" s="341"/>
      <c r="S91" s="341"/>
      <c r="T91" s="341"/>
      <c r="U91" s="341"/>
      <c r="V91" s="496" t="s">
        <v>422</v>
      </c>
      <c r="W91" s="500">
        <v>91999912</v>
      </c>
      <c r="X91" s="435" t="s">
        <v>781</v>
      </c>
      <c r="Y91" s="435" t="s">
        <v>781</v>
      </c>
      <c r="Z91" s="497">
        <v>0.33333333333333331</v>
      </c>
      <c r="AA91" s="497">
        <v>0.75</v>
      </c>
      <c r="AB91" s="498">
        <v>9000</v>
      </c>
      <c r="AC91" s="499">
        <v>10</v>
      </c>
      <c r="AD91"/>
      <c r="AE91"/>
    </row>
    <row r="92" spans="1:31" s="5" customFormat="1">
      <c r="A92" s="509" t="s">
        <v>759</v>
      </c>
      <c r="B92" s="489">
        <f>AD98</f>
        <v>8</v>
      </c>
      <c r="C92" s="489">
        <f>AD99</f>
        <v>4</v>
      </c>
      <c r="D92" s="489"/>
      <c r="E92" s="489"/>
      <c r="F92" s="489"/>
      <c r="G92" s="489"/>
      <c r="H92" s="489"/>
      <c r="I92" s="489"/>
      <c r="J92" s="489"/>
      <c r="K92" s="489"/>
      <c r="L92" s="489"/>
      <c r="M92" s="489"/>
      <c r="N92" s="489"/>
      <c r="O92" s="429"/>
      <c r="P92" s="710">
        <f t="shared" si="16"/>
        <v>12</v>
      </c>
      <c r="Q92"/>
      <c r="R92" s="341"/>
      <c r="S92" s="341"/>
      <c r="T92" s="341"/>
      <c r="U92" s="341"/>
      <c r="V92" s="496" t="s">
        <v>422</v>
      </c>
      <c r="W92" s="500">
        <v>91999912</v>
      </c>
      <c r="X92" s="435" t="s">
        <v>782</v>
      </c>
      <c r="Y92" s="435" t="s">
        <v>782</v>
      </c>
      <c r="Z92" s="497">
        <v>0.33333333333333331</v>
      </c>
      <c r="AA92" s="497">
        <v>0.75</v>
      </c>
      <c r="AB92" s="498">
        <v>9000</v>
      </c>
      <c r="AC92" s="499">
        <v>10</v>
      </c>
      <c r="AD92"/>
      <c r="AE92"/>
    </row>
    <row r="93" spans="1:31" s="5" customFormat="1">
      <c r="A93" s="509" t="s">
        <v>760</v>
      </c>
      <c r="B93" s="489"/>
      <c r="C93" s="489">
        <f>AD100</f>
        <v>100.8</v>
      </c>
      <c r="D93" s="489"/>
      <c r="E93" s="489"/>
      <c r="F93" s="489"/>
      <c r="G93" s="489"/>
      <c r="H93" s="489"/>
      <c r="I93" s="489"/>
      <c r="J93" s="489"/>
      <c r="K93" s="489"/>
      <c r="L93" s="489"/>
      <c r="M93" s="489"/>
      <c r="N93" s="489"/>
      <c r="O93" s="429"/>
      <c r="P93" s="710">
        <f t="shared" si="16"/>
        <v>100.8</v>
      </c>
      <c r="Q93"/>
      <c r="R93"/>
      <c r="S93"/>
      <c r="T93"/>
      <c r="U93"/>
      <c r="V93" s="496" t="s">
        <v>422</v>
      </c>
      <c r="W93" s="500">
        <v>91999912</v>
      </c>
      <c r="X93" s="435" t="s">
        <v>783</v>
      </c>
      <c r="Y93" s="435" t="s">
        <v>783</v>
      </c>
      <c r="Z93" s="497">
        <v>0.33333333333333331</v>
      </c>
      <c r="AA93" s="497">
        <v>0.75</v>
      </c>
      <c r="AB93" s="498">
        <v>9000</v>
      </c>
      <c r="AC93" s="499">
        <v>10</v>
      </c>
      <c r="AD93"/>
      <c r="AE93"/>
    </row>
    <row r="94" spans="1:31" s="5" customFormat="1">
      <c r="A94" s="509" t="s">
        <v>761</v>
      </c>
      <c r="B94" s="489"/>
      <c r="C94" s="489">
        <f>AD101</f>
        <v>7.2</v>
      </c>
      <c r="D94" s="489"/>
      <c r="E94" s="489"/>
      <c r="F94" s="489"/>
      <c r="G94" s="489"/>
      <c r="H94" s="489"/>
      <c r="I94" s="489"/>
      <c r="J94" s="489"/>
      <c r="K94" s="489"/>
      <c r="L94" s="489"/>
      <c r="M94" s="489"/>
      <c r="N94" s="489"/>
      <c r="O94" s="429"/>
      <c r="P94" s="710">
        <f t="shared" si="16"/>
        <v>7.2</v>
      </c>
      <c r="Q94"/>
      <c r="R94"/>
      <c r="S94"/>
      <c r="T94"/>
      <c r="U94"/>
      <c r="V94" s="33"/>
      <c r="W94" s="45"/>
      <c r="X94" s="13"/>
      <c r="Y94" s="13"/>
      <c r="Z94" s="13"/>
      <c r="AA94" s="13"/>
      <c r="AB94" s="13"/>
      <c r="AC94" s="18"/>
      <c r="AD94"/>
      <c r="AE94"/>
    </row>
    <row r="95" spans="1:31" s="5" customFormat="1">
      <c r="A95" s="509" t="s">
        <v>1419</v>
      </c>
      <c r="B95" s="489">
        <f>AD102</f>
        <v>4</v>
      </c>
      <c r="C95" s="489"/>
      <c r="D95" s="489"/>
      <c r="E95" s="489"/>
      <c r="F95" s="489"/>
      <c r="G95" s="489"/>
      <c r="H95" s="489"/>
      <c r="I95" s="489"/>
      <c r="J95" s="489"/>
      <c r="K95" s="489"/>
      <c r="L95" s="489"/>
      <c r="M95" s="489"/>
      <c r="N95" s="489"/>
      <c r="O95" s="429"/>
      <c r="P95" s="710">
        <f t="shared" si="16"/>
        <v>4</v>
      </c>
      <c r="Q95"/>
      <c r="R95"/>
      <c r="S95"/>
      <c r="T95"/>
      <c r="U95"/>
      <c r="V95" s="33"/>
      <c r="W95" s="45"/>
      <c r="X95" s="13"/>
      <c r="Y95" s="13"/>
      <c r="Z95" s="13"/>
      <c r="AA95" s="13"/>
      <c r="AB95" s="13"/>
      <c r="AC95" s="18"/>
      <c r="AD95"/>
      <c r="AE95"/>
    </row>
    <row r="96" spans="1:31" s="5" customFormat="1">
      <c r="A96" s="509" t="s">
        <v>1420</v>
      </c>
      <c r="B96" s="489"/>
      <c r="C96" s="489"/>
      <c r="D96" s="489"/>
      <c r="E96" s="489"/>
      <c r="F96" s="489"/>
      <c r="G96" s="489"/>
      <c r="H96" s="489">
        <f>AD103</f>
        <v>4</v>
      </c>
      <c r="I96" s="489"/>
      <c r="J96" s="489"/>
      <c r="K96" s="489"/>
      <c r="L96" s="489"/>
      <c r="M96" s="489"/>
      <c r="N96" s="489"/>
      <c r="O96" s="429"/>
      <c r="P96" s="710">
        <f t="shared" si="16"/>
        <v>4</v>
      </c>
      <c r="Q96"/>
      <c r="R96"/>
      <c r="S96"/>
      <c r="T96"/>
      <c r="U96"/>
      <c r="V96" s="32"/>
      <c r="W96" s="44"/>
      <c r="X96" s="13"/>
      <c r="Y96" s="13"/>
      <c r="Z96" s="13"/>
      <c r="AA96" s="13"/>
      <c r="AB96" s="13"/>
      <c r="AC96" s="18"/>
      <c r="AD96"/>
      <c r="AE96"/>
    </row>
    <row r="97" spans="1:31" s="5" customFormat="1">
      <c r="A97" s="509" t="s">
        <v>1421</v>
      </c>
      <c r="B97" s="489"/>
      <c r="C97" s="489">
        <f>AD104</f>
        <v>7.2</v>
      </c>
      <c r="D97" s="489"/>
      <c r="E97" s="489"/>
      <c r="F97" s="489"/>
      <c r="G97" s="489"/>
      <c r="H97" s="489"/>
      <c r="I97" s="489"/>
      <c r="J97" s="489"/>
      <c r="K97" s="489"/>
      <c r="L97" s="489"/>
      <c r="M97" s="489"/>
      <c r="N97" s="489"/>
      <c r="O97" s="429"/>
      <c r="P97" s="710">
        <f t="shared" si="16"/>
        <v>7.2</v>
      </c>
      <c r="Q97"/>
      <c r="R97"/>
      <c r="S97"/>
      <c r="T97"/>
      <c r="U97"/>
      <c r="V97" s="24" t="s">
        <v>57</v>
      </c>
      <c r="W97" s="37" t="s">
        <v>67</v>
      </c>
      <c r="X97" s="37" t="s">
        <v>69</v>
      </c>
      <c r="Y97" s="37" t="s">
        <v>70</v>
      </c>
      <c r="Z97" s="62" t="s">
        <v>424</v>
      </c>
      <c r="AA97" s="357" t="s">
        <v>425</v>
      </c>
      <c r="AB97" s="37" t="s">
        <v>56</v>
      </c>
      <c r="AC97" s="38"/>
      <c r="AD97" s="643" t="s">
        <v>1464</v>
      </c>
      <c r="AE97" s="643" t="s">
        <v>1463</v>
      </c>
    </row>
    <row r="98" spans="1:31" s="5" customFormat="1">
      <c r="A98" s="509" t="s">
        <v>1422</v>
      </c>
      <c r="B98" s="489"/>
      <c r="C98" s="489">
        <f>AD101</f>
        <v>7.2</v>
      </c>
      <c r="D98" s="489"/>
      <c r="E98" s="489"/>
      <c r="F98" s="489"/>
      <c r="G98" s="489"/>
      <c r="H98" s="489"/>
      <c r="I98" s="489"/>
      <c r="J98" s="489"/>
      <c r="K98" s="489"/>
      <c r="L98" s="489"/>
      <c r="M98" s="489"/>
      <c r="N98" s="489"/>
      <c r="O98" s="429"/>
      <c r="P98" s="710">
        <f t="shared" si="16"/>
        <v>7.2</v>
      </c>
      <c r="Q98"/>
      <c r="R98"/>
      <c r="S98"/>
      <c r="T98"/>
      <c r="U98"/>
      <c r="V98" s="496" t="s">
        <v>774</v>
      </c>
      <c r="W98" s="524">
        <v>91999901</v>
      </c>
      <c r="X98" s="525" t="s">
        <v>1418</v>
      </c>
      <c r="Y98" s="525" t="s">
        <v>1418</v>
      </c>
      <c r="Z98" s="497">
        <v>0.33333333333333331</v>
      </c>
      <c r="AA98" s="497">
        <v>0.70833333333333337</v>
      </c>
      <c r="AB98" s="498">
        <v>1000</v>
      </c>
      <c r="AC98" s="499">
        <v>1</v>
      </c>
      <c r="AD98" s="287">
        <v>8</v>
      </c>
      <c r="AE98"/>
    </row>
    <row r="99" spans="1:31" s="5" customFormat="1">
      <c r="A99" s="509" t="s">
        <v>1423</v>
      </c>
      <c r="B99" s="489"/>
      <c r="C99" s="489"/>
      <c r="D99" s="489"/>
      <c r="E99" s="489">
        <f>AD106</f>
        <v>40</v>
      </c>
      <c r="F99" s="489"/>
      <c r="G99" s="489"/>
      <c r="H99" s="489"/>
      <c r="I99" s="489"/>
      <c r="J99" s="489"/>
      <c r="K99" s="489"/>
      <c r="L99" s="489"/>
      <c r="M99" s="489"/>
      <c r="N99" s="489"/>
      <c r="O99" s="429"/>
      <c r="P99" s="710">
        <f t="shared" si="16"/>
        <v>40</v>
      </c>
      <c r="Q99"/>
      <c r="R99"/>
      <c r="S99"/>
      <c r="T99"/>
      <c r="U99"/>
      <c r="V99" s="496" t="s">
        <v>774</v>
      </c>
      <c r="W99" s="524">
        <v>91999902</v>
      </c>
      <c r="X99" s="525">
        <v>43678</v>
      </c>
      <c r="Y99" s="525">
        <v>43678</v>
      </c>
      <c r="Z99" s="497">
        <v>0.54166666666666663</v>
      </c>
      <c r="AA99" s="497">
        <v>0.70833333333333337</v>
      </c>
      <c r="AB99" s="498">
        <v>1000</v>
      </c>
      <c r="AC99" s="499">
        <f>ROUND(4/7.2,2)</f>
        <v>0.56000000000000005</v>
      </c>
      <c r="AD99" s="287">
        <v>4</v>
      </c>
      <c r="AE99"/>
    </row>
    <row r="100" spans="1:31" s="5" customFormat="1">
      <c r="A100" s="509" t="s">
        <v>1424</v>
      </c>
      <c r="B100" s="489"/>
      <c r="C100" s="489"/>
      <c r="D100" s="489"/>
      <c r="E100" s="489"/>
      <c r="F100" s="489">
        <f>AD107</f>
        <v>32</v>
      </c>
      <c r="G100" s="489"/>
      <c r="H100" s="489"/>
      <c r="I100" s="489"/>
      <c r="J100" s="489"/>
      <c r="K100" s="489"/>
      <c r="L100" s="489"/>
      <c r="M100" s="489"/>
      <c r="N100" s="489"/>
      <c r="O100" s="429"/>
      <c r="P100" s="710">
        <f t="shared" si="16"/>
        <v>32</v>
      </c>
      <c r="Q100"/>
      <c r="R100"/>
      <c r="S100"/>
      <c r="T100"/>
      <c r="U100"/>
      <c r="V100" s="496" t="s">
        <v>292</v>
      </c>
      <c r="W100" s="524">
        <v>91999902</v>
      </c>
      <c r="X100" s="525">
        <v>43679</v>
      </c>
      <c r="Y100" s="525">
        <v>43698</v>
      </c>
      <c r="Z100" s="497"/>
      <c r="AA100" s="497"/>
      <c r="AB100" s="498">
        <v>2000</v>
      </c>
      <c r="AC100" s="499">
        <v>14</v>
      </c>
      <c r="AD100" s="287">
        <v>100.8</v>
      </c>
      <c r="AE100"/>
    </row>
    <row r="101" spans="1:31" s="5" customFormat="1">
      <c r="A101" s="509" t="s">
        <v>1425</v>
      </c>
      <c r="B101" s="489"/>
      <c r="C101" s="489"/>
      <c r="D101" s="489"/>
      <c r="E101" s="489"/>
      <c r="F101" s="489"/>
      <c r="G101" s="489"/>
      <c r="H101" s="489"/>
      <c r="I101" s="489"/>
      <c r="J101" s="489">
        <f>AD108</f>
        <v>9.6</v>
      </c>
      <c r="K101" s="489"/>
      <c r="L101" s="489"/>
      <c r="M101" s="489"/>
      <c r="N101" s="489"/>
      <c r="O101" s="429"/>
      <c r="P101" s="710">
        <f t="shared" si="16"/>
        <v>9.6</v>
      </c>
      <c r="Q101"/>
      <c r="R101"/>
      <c r="S101"/>
      <c r="T101"/>
      <c r="U101"/>
      <c r="V101" s="496" t="s">
        <v>292</v>
      </c>
      <c r="W101" s="524">
        <v>91999902</v>
      </c>
      <c r="X101" s="525">
        <v>43699</v>
      </c>
      <c r="Y101" s="525">
        <v>43699</v>
      </c>
      <c r="Z101" s="497"/>
      <c r="AA101" s="497"/>
      <c r="AB101" s="498">
        <v>5000</v>
      </c>
      <c r="AC101" s="499">
        <v>1</v>
      </c>
      <c r="AD101" s="287">
        <v>7.2</v>
      </c>
      <c r="AE101"/>
    </row>
    <row r="102" spans="1:31" s="5" customFormat="1">
      <c r="A102" s="509" t="s">
        <v>765</v>
      </c>
      <c r="B102" s="489">
        <f>AD109</f>
        <v>40</v>
      </c>
      <c r="C102" s="489">
        <f>AD114</f>
        <v>21.6</v>
      </c>
      <c r="D102" s="489"/>
      <c r="E102" s="489"/>
      <c r="F102" s="489"/>
      <c r="G102" s="489"/>
      <c r="H102" s="489">
        <f>AD126</f>
        <v>20</v>
      </c>
      <c r="I102" s="489"/>
      <c r="J102" s="489"/>
      <c r="K102" s="489">
        <f>AD115</f>
        <v>8</v>
      </c>
      <c r="L102" s="489"/>
      <c r="M102" s="489"/>
      <c r="N102" s="489"/>
      <c r="O102" s="429"/>
      <c r="P102" s="710">
        <f t="shared" si="16"/>
        <v>89.6</v>
      </c>
      <c r="Q102"/>
      <c r="R102"/>
      <c r="S102"/>
      <c r="T102"/>
      <c r="U102"/>
      <c r="V102" s="496" t="s">
        <v>292</v>
      </c>
      <c r="W102" s="500">
        <v>91999901</v>
      </c>
      <c r="X102" s="525">
        <v>43679</v>
      </c>
      <c r="Y102" s="525">
        <v>43679</v>
      </c>
      <c r="Z102" s="497">
        <v>0.33333333333333331</v>
      </c>
      <c r="AA102" s="497">
        <v>0.5</v>
      </c>
      <c r="AB102" s="498">
        <v>4016</v>
      </c>
      <c r="AC102" s="499">
        <v>0.5</v>
      </c>
      <c r="AD102" s="287">
        <v>4</v>
      </c>
      <c r="AE102"/>
    </row>
    <row r="103" spans="1:31" s="5" customFormat="1">
      <c r="A103" s="509" t="s">
        <v>1426</v>
      </c>
      <c r="B103" s="489"/>
      <c r="C103" s="489"/>
      <c r="D103" s="489"/>
      <c r="E103" s="489"/>
      <c r="F103" s="489"/>
      <c r="G103" s="489"/>
      <c r="H103" s="489"/>
      <c r="I103" s="489"/>
      <c r="J103" s="489"/>
      <c r="K103" s="489"/>
      <c r="L103" s="489"/>
      <c r="M103" s="489"/>
      <c r="N103" s="489"/>
      <c r="O103" s="429">
        <f>AD116</f>
        <v>72</v>
      </c>
      <c r="P103" s="710">
        <f t="shared" si="16"/>
        <v>72</v>
      </c>
      <c r="Q103"/>
      <c r="R103"/>
      <c r="S103"/>
      <c r="T103"/>
      <c r="U103"/>
      <c r="V103" s="496" t="s">
        <v>292</v>
      </c>
      <c r="W103" s="500">
        <v>91999907</v>
      </c>
      <c r="X103" s="525">
        <v>43678</v>
      </c>
      <c r="Y103" s="525">
        <v>43678</v>
      </c>
      <c r="Z103" s="497">
        <v>0.33333333333333331</v>
      </c>
      <c r="AA103" s="497">
        <v>0.70833333333333337</v>
      </c>
      <c r="AB103" s="498">
        <v>4020</v>
      </c>
      <c r="AC103" s="499">
        <v>1</v>
      </c>
      <c r="AD103" s="287">
        <v>4</v>
      </c>
      <c r="AE103"/>
    </row>
    <row r="104" spans="1:31" s="5" customFormat="1">
      <c r="A104" s="509" t="s">
        <v>1427</v>
      </c>
      <c r="B104" s="489"/>
      <c r="C104" s="489"/>
      <c r="D104" s="489"/>
      <c r="E104" s="489"/>
      <c r="F104" s="489"/>
      <c r="G104" s="489"/>
      <c r="H104" s="489"/>
      <c r="I104" s="489"/>
      <c r="J104" s="489"/>
      <c r="K104" s="489"/>
      <c r="L104" s="489"/>
      <c r="M104" s="489"/>
      <c r="N104" s="489">
        <f>AD117</f>
        <v>96</v>
      </c>
      <c r="O104" s="429"/>
      <c r="P104" s="710">
        <f t="shared" si="16"/>
        <v>96</v>
      </c>
      <c r="Q104"/>
      <c r="R104"/>
      <c r="S104"/>
      <c r="T104"/>
      <c r="U104"/>
      <c r="V104" s="496" t="s">
        <v>292</v>
      </c>
      <c r="W104" s="524">
        <v>91999902</v>
      </c>
      <c r="X104" s="525">
        <v>43700</v>
      </c>
      <c r="Y104" s="525">
        <v>43700</v>
      </c>
      <c r="Z104" s="497"/>
      <c r="AA104" s="497"/>
      <c r="AB104" s="498">
        <v>4000</v>
      </c>
      <c r="AC104" s="499">
        <v>1</v>
      </c>
      <c r="AD104" s="287">
        <v>7.2</v>
      </c>
      <c r="AE104"/>
    </row>
    <row r="105" spans="1:31" s="5" customFormat="1">
      <c r="A105" s="509" t="s">
        <v>1428</v>
      </c>
      <c r="B105" s="489"/>
      <c r="C105" s="489"/>
      <c r="D105" s="489"/>
      <c r="E105" s="489"/>
      <c r="F105" s="489"/>
      <c r="G105" s="489"/>
      <c r="H105" s="489"/>
      <c r="I105" s="489"/>
      <c r="J105" s="489"/>
      <c r="K105" s="489"/>
      <c r="L105" s="489">
        <f>AD118</f>
        <v>40</v>
      </c>
      <c r="M105" s="489"/>
      <c r="N105" s="489"/>
      <c r="O105" s="429"/>
      <c r="P105" s="710">
        <f t="shared" si="16"/>
        <v>40</v>
      </c>
      <c r="Q105"/>
      <c r="R105"/>
      <c r="S105"/>
      <c r="T105"/>
      <c r="U105"/>
      <c r="V105" s="496" t="s">
        <v>292</v>
      </c>
      <c r="W105" s="524">
        <v>91999902</v>
      </c>
      <c r="X105" s="525" t="s">
        <v>1449</v>
      </c>
      <c r="Y105" s="525" t="s">
        <v>1449</v>
      </c>
      <c r="Z105" s="497"/>
      <c r="AA105" s="497"/>
      <c r="AB105" s="498">
        <v>4321</v>
      </c>
      <c r="AC105" s="499">
        <v>1</v>
      </c>
      <c r="AD105" s="287">
        <v>7.2</v>
      </c>
      <c r="AE105"/>
    </row>
    <row r="106" spans="1:31" s="5" customFormat="1">
      <c r="A106" s="509" t="s">
        <v>1429</v>
      </c>
      <c r="B106" s="489"/>
      <c r="C106" s="489"/>
      <c r="D106" s="489"/>
      <c r="E106" s="489">
        <f>AD119</f>
        <v>120</v>
      </c>
      <c r="F106" s="489"/>
      <c r="G106" s="489"/>
      <c r="H106" s="489"/>
      <c r="I106" s="489"/>
      <c r="J106" s="489"/>
      <c r="K106" s="489"/>
      <c r="L106" s="489"/>
      <c r="M106" s="489"/>
      <c r="N106" s="489"/>
      <c r="O106" s="429"/>
      <c r="P106" s="710">
        <f t="shared" si="16"/>
        <v>120</v>
      </c>
      <c r="Q106"/>
      <c r="R106"/>
      <c r="S106"/>
      <c r="T106"/>
      <c r="U106"/>
      <c r="V106" s="496" t="s">
        <v>292</v>
      </c>
      <c r="W106" s="524">
        <v>91999904</v>
      </c>
      <c r="X106" s="525">
        <v>43682</v>
      </c>
      <c r="Y106" s="525">
        <v>43688</v>
      </c>
      <c r="Z106" s="497"/>
      <c r="AA106" s="497"/>
      <c r="AB106" s="498">
        <v>4021</v>
      </c>
      <c r="AC106" s="499">
        <v>5</v>
      </c>
      <c r="AD106" s="287">
        <v>40</v>
      </c>
      <c r="AE106"/>
    </row>
    <row r="107" spans="1:31" s="5" customFormat="1">
      <c r="A107" s="509" t="s">
        <v>1430</v>
      </c>
      <c r="B107" s="489"/>
      <c r="C107" s="489"/>
      <c r="D107" s="489"/>
      <c r="E107" s="489"/>
      <c r="F107" s="489"/>
      <c r="G107" s="489"/>
      <c r="H107" s="489"/>
      <c r="I107" s="489"/>
      <c r="J107" s="489"/>
      <c r="K107" s="489">
        <f>AD120</f>
        <v>48</v>
      </c>
      <c r="L107" s="489"/>
      <c r="M107" s="489"/>
      <c r="N107" s="489"/>
      <c r="O107" s="429"/>
      <c r="P107" s="710">
        <f t="shared" si="16"/>
        <v>48</v>
      </c>
      <c r="Q107"/>
      <c r="R107"/>
      <c r="S107"/>
      <c r="T107"/>
      <c r="U107"/>
      <c r="V107" s="496" t="s">
        <v>292</v>
      </c>
      <c r="W107" s="524">
        <v>91999905</v>
      </c>
      <c r="X107" s="525">
        <v>43682</v>
      </c>
      <c r="Y107" s="525">
        <v>43688</v>
      </c>
      <c r="Z107" s="497"/>
      <c r="AA107" s="497"/>
      <c r="AB107" s="498">
        <v>4022</v>
      </c>
      <c r="AC107" s="499">
        <v>5</v>
      </c>
      <c r="AD107" s="287">
        <v>32</v>
      </c>
      <c r="AE107"/>
    </row>
    <row r="108" spans="1:31" s="5" customFormat="1">
      <c r="A108" s="509" t="s">
        <v>1431</v>
      </c>
      <c r="B108" s="489"/>
      <c r="C108" s="489">
        <f>AD121</f>
        <v>4</v>
      </c>
      <c r="D108" s="489"/>
      <c r="E108" s="489"/>
      <c r="F108" s="489"/>
      <c r="G108" s="489"/>
      <c r="H108" s="489"/>
      <c r="I108" s="489"/>
      <c r="J108" s="489"/>
      <c r="K108" s="489"/>
      <c r="L108" s="489"/>
      <c r="M108" s="489"/>
      <c r="N108" s="489"/>
      <c r="O108" s="429"/>
      <c r="P108" s="710">
        <f t="shared" si="16"/>
        <v>4</v>
      </c>
      <c r="Q108"/>
      <c r="R108"/>
      <c r="S108"/>
      <c r="T108"/>
      <c r="U108"/>
      <c r="V108" s="496" t="s">
        <v>292</v>
      </c>
      <c r="W108" s="500">
        <v>91999909</v>
      </c>
      <c r="X108" s="525">
        <v>43678</v>
      </c>
      <c r="Y108" s="525">
        <v>43681</v>
      </c>
      <c r="Z108" s="497"/>
      <c r="AA108" s="497"/>
      <c r="AB108" s="498">
        <v>4320</v>
      </c>
      <c r="AC108" s="499">
        <v>2</v>
      </c>
      <c r="AD108" s="287">
        <v>9.6</v>
      </c>
      <c r="AE108" s="81"/>
    </row>
    <row r="109" spans="1:31">
      <c r="A109" s="509" t="s">
        <v>1432</v>
      </c>
      <c r="B109" s="489">
        <f>AD122</f>
        <v>88</v>
      </c>
      <c r="C109" s="489"/>
      <c r="D109" s="489"/>
      <c r="E109" s="489"/>
      <c r="F109" s="489"/>
      <c r="G109" s="489"/>
      <c r="H109" s="489"/>
      <c r="I109" s="489"/>
      <c r="J109" s="489"/>
      <c r="K109" s="489"/>
      <c r="L109" s="489"/>
      <c r="M109" s="489"/>
      <c r="N109" s="489"/>
      <c r="O109" s="429"/>
      <c r="P109" s="710">
        <f t="shared" si="16"/>
        <v>88</v>
      </c>
      <c r="V109" s="496" t="s">
        <v>292</v>
      </c>
      <c r="W109" s="500">
        <v>91999901</v>
      </c>
      <c r="X109" s="525">
        <v>43682</v>
      </c>
      <c r="Y109" s="525">
        <v>43682</v>
      </c>
      <c r="Z109" s="497"/>
      <c r="AA109" s="497"/>
      <c r="AB109" s="498">
        <v>3000</v>
      </c>
      <c r="AC109" s="499">
        <v>1</v>
      </c>
      <c r="AD109" s="287">
        <v>40</v>
      </c>
      <c r="AE109" s="706">
        <v>5</v>
      </c>
    </row>
    <row r="110" spans="1:31">
      <c r="A110" s="509" t="s">
        <v>1433</v>
      </c>
      <c r="B110" s="489"/>
      <c r="C110" s="489"/>
      <c r="D110" s="489"/>
      <c r="E110" s="489"/>
      <c r="F110" s="489"/>
      <c r="G110" s="489"/>
      <c r="H110" s="489"/>
      <c r="I110" s="489"/>
      <c r="J110" s="489"/>
      <c r="K110" s="489">
        <f>AD123</f>
        <v>8</v>
      </c>
      <c r="L110" s="489"/>
      <c r="M110" s="489"/>
      <c r="N110" s="489"/>
      <c r="O110" s="429"/>
      <c r="P110" s="710">
        <f t="shared" si="16"/>
        <v>8</v>
      </c>
      <c r="V110" s="496" t="s">
        <v>292</v>
      </c>
      <c r="W110" s="500">
        <v>91999901</v>
      </c>
      <c r="X110" s="525">
        <v>43683</v>
      </c>
      <c r="Y110" s="525">
        <v>43683</v>
      </c>
      <c r="Z110" s="497"/>
      <c r="AA110" s="497"/>
      <c r="AB110" s="498">
        <v>3000</v>
      </c>
      <c r="AC110" s="499">
        <v>1</v>
      </c>
      <c r="AD110" s="287"/>
      <c r="AE110" s="706"/>
    </row>
    <row r="111" spans="1:31" ht="13.2" customHeight="1">
      <c r="A111" s="509" t="s">
        <v>1434</v>
      </c>
      <c r="B111" s="489"/>
      <c r="C111" s="489"/>
      <c r="D111" s="489"/>
      <c r="E111" s="489"/>
      <c r="F111" s="489"/>
      <c r="G111" s="489"/>
      <c r="H111" s="489"/>
      <c r="I111" s="489"/>
      <c r="J111" s="489"/>
      <c r="K111" s="489"/>
      <c r="L111" s="489">
        <f>AD124</f>
        <v>48</v>
      </c>
      <c r="M111" s="489"/>
      <c r="N111" s="489"/>
      <c r="O111" s="429"/>
      <c r="P111" s="710">
        <f t="shared" si="16"/>
        <v>48</v>
      </c>
      <c r="V111" s="496" t="s">
        <v>292</v>
      </c>
      <c r="W111" s="500">
        <v>91999901</v>
      </c>
      <c r="X111" s="525">
        <v>43684</v>
      </c>
      <c r="Y111" s="525">
        <v>43684</v>
      </c>
      <c r="Z111" s="497"/>
      <c r="AA111" s="497"/>
      <c r="AB111" s="498">
        <v>3000</v>
      </c>
      <c r="AC111" s="499">
        <v>1</v>
      </c>
      <c r="AD111" s="287"/>
      <c r="AE111" s="706"/>
    </row>
    <row r="112" spans="1:31">
      <c r="A112" s="509" t="s">
        <v>1435</v>
      </c>
      <c r="B112" s="489"/>
      <c r="C112" s="489"/>
      <c r="D112" s="489"/>
      <c r="E112" s="489"/>
      <c r="F112" s="489"/>
      <c r="G112" s="489"/>
      <c r="H112" s="489"/>
      <c r="I112" s="489"/>
      <c r="J112" s="489"/>
      <c r="K112" s="489"/>
      <c r="L112" s="489"/>
      <c r="M112" s="489"/>
      <c r="N112" s="489">
        <f>AD125</f>
        <v>72</v>
      </c>
      <c r="O112" s="429"/>
      <c r="P112" s="710">
        <f t="shared" si="16"/>
        <v>72</v>
      </c>
      <c r="V112" s="496" t="s">
        <v>292</v>
      </c>
      <c r="W112" s="500">
        <v>91999901</v>
      </c>
      <c r="X112" s="525">
        <v>43685</v>
      </c>
      <c r="Y112" s="525">
        <v>43685</v>
      </c>
      <c r="Z112" s="497"/>
      <c r="AA112" s="497"/>
      <c r="AB112" s="498">
        <v>3000</v>
      </c>
      <c r="AC112" s="499">
        <v>1</v>
      </c>
      <c r="AD112" s="287"/>
      <c r="AE112" s="706"/>
    </row>
    <row r="113" spans="1:31">
      <c r="A113" s="405"/>
      <c r="B113" s="325"/>
      <c r="C113" s="326"/>
      <c r="D113" s="326"/>
      <c r="E113" s="334"/>
      <c r="F113" s="326"/>
      <c r="G113" s="326"/>
      <c r="H113" s="326"/>
      <c r="I113" s="326"/>
      <c r="J113" s="326"/>
      <c r="K113" s="334"/>
      <c r="L113" s="334"/>
      <c r="M113" s="334"/>
      <c r="N113" s="334"/>
      <c r="O113" s="334"/>
      <c r="P113" s="339"/>
      <c r="V113" s="496" t="s">
        <v>292</v>
      </c>
      <c r="W113" s="500">
        <v>91999901</v>
      </c>
      <c r="X113" s="525">
        <v>43686</v>
      </c>
      <c r="Y113" s="525">
        <v>43686</v>
      </c>
      <c r="Z113" s="497"/>
      <c r="AA113" s="497"/>
      <c r="AB113" s="498">
        <v>3000</v>
      </c>
      <c r="AC113" s="499">
        <v>1</v>
      </c>
      <c r="AD113" s="287"/>
      <c r="AE113" s="706"/>
    </row>
    <row r="114" spans="1:31" ht="15.6">
      <c r="A114" s="404" t="s">
        <v>483</v>
      </c>
      <c r="B114" s="325"/>
      <c r="C114" s="326"/>
      <c r="D114" s="326"/>
      <c r="E114" s="334"/>
      <c r="F114" s="326"/>
      <c r="G114" s="326"/>
      <c r="H114" s="326"/>
      <c r="I114" s="326"/>
      <c r="J114" s="326"/>
      <c r="K114" s="334"/>
      <c r="L114" s="334"/>
      <c r="M114" s="334"/>
      <c r="N114" s="334"/>
      <c r="O114" s="334"/>
      <c r="P114" s="339"/>
      <c r="V114" s="496" t="s">
        <v>292</v>
      </c>
      <c r="W114" s="500">
        <v>91999902</v>
      </c>
      <c r="X114" s="525">
        <v>43705</v>
      </c>
      <c r="Y114" s="525">
        <v>43708</v>
      </c>
      <c r="Z114" s="497"/>
      <c r="AA114" s="497"/>
      <c r="AB114" s="498">
        <v>3000</v>
      </c>
      <c r="AC114" s="499">
        <v>3</v>
      </c>
      <c r="AD114" s="287">
        <v>21.6</v>
      </c>
      <c r="AE114" s="706">
        <f>_xlfn.DAYS(Y114,X114)+1</f>
        <v>4</v>
      </c>
    </row>
    <row r="115" spans="1:31">
      <c r="A115" s="436" t="s">
        <v>488</v>
      </c>
      <c r="B115" s="326">
        <f>ROUND(B177*12/52/40,0)</f>
        <v>40385</v>
      </c>
      <c r="C115" s="326">
        <f>ROUND(C177*12/52/40,0)</f>
        <v>35769</v>
      </c>
      <c r="D115" s="326"/>
      <c r="E115" s="326">
        <f t="shared" ref="E115:O115" si="17">ROUND(E177*12/52/40,0)</f>
        <v>63462</v>
      </c>
      <c r="F115" s="326">
        <f t="shared" si="17"/>
        <v>92308</v>
      </c>
      <c r="G115" s="326">
        <f t="shared" si="17"/>
        <v>428400</v>
      </c>
      <c r="H115" s="326">
        <f t="shared" si="17"/>
        <v>696150</v>
      </c>
      <c r="I115" s="326">
        <f t="shared" si="17"/>
        <v>522113</v>
      </c>
      <c r="J115" s="326">
        <f t="shared" si="17"/>
        <v>317308</v>
      </c>
      <c r="K115" s="326">
        <f t="shared" si="17"/>
        <v>57692</v>
      </c>
      <c r="L115" s="326">
        <f t="shared" si="17"/>
        <v>66346</v>
      </c>
      <c r="M115" s="326">
        <f t="shared" si="17"/>
        <v>40385</v>
      </c>
      <c r="N115" s="326">
        <f t="shared" si="17"/>
        <v>46154</v>
      </c>
      <c r="O115" s="326">
        <f t="shared" si="17"/>
        <v>34615</v>
      </c>
      <c r="P115" s="339">
        <f t="shared" ref="P115:P125" si="18">SUM(B115:O115)</f>
        <v>2441087</v>
      </c>
      <c r="V115" s="496" t="s">
        <v>292</v>
      </c>
      <c r="W115" s="500">
        <v>91999910</v>
      </c>
      <c r="X115" s="525">
        <v>43678</v>
      </c>
      <c r="Y115" s="525">
        <v>43678</v>
      </c>
      <c r="Z115" s="497"/>
      <c r="AA115" s="497"/>
      <c r="AB115" s="498">
        <v>3000</v>
      </c>
      <c r="AC115" s="499">
        <v>1</v>
      </c>
      <c r="AD115" s="287">
        <v>8</v>
      </c>
      <c r="AE115" s="706">
        <f>_xlfn.DAYS(Y115,X115)+1</f>
        <v>1</v>
      </c>
    </row>
    <row r="116" spans="1:31">
      <c r="A116" s="436" t="s">
        <v>499</v>
      </c>
      <c r="B116" s="326">
        <f>ROUND(SUM(B177,B166,B167,B169)*12/52/40,0)</f>
        <v>72692</v>
      </c>
      <c r="C116" s="326">
        <f>ROUND(SUM(C177,C166,C167,C169)*12/52/40,0)</f>
        <v>66692</v>
      </c>
      <c r="D116" s="326"/>
      <c r="E116" s="326">
        <f t="shared" ref="E116:O116" si="19">ROUND(SUM(E177,E166,E167,E169)*12/52/40,0)</f>
        <v>83654</v>
      </c>
      <c r="F116" s="326">
        <f t="shared" si="19"/>
        <v>112500</v>
      </c>
      <c r="G116" s="326">
        <f t="shared" si="19"/>
        <v>428400</v>
      </c>
      <c r="H116" s="326">
        <f t="shared" si="19"/>
        <v>943819</v>
      </c>
      <c r="I116" s="326">
        <f t="shared" si="19"/>
        <v>548888</v>
      </c>
      <c r="J116" s="326">
        <f t="shared" si="19"/>
        <v>432692</v>
      </c>
      <c r="K116" s="326">
        <f t="shared" si="19"/>
        <v>95192</v>
      </c>
      <c r="L116" s="326">
        <f t="shared" si="19"/>
        <v>86538</v>
      </c>
      <c r="M116" s="326">
        <f t="shared" si="19"/>
        <v>80769</v>
      </c>
      <c r="N116" s="326">
        <f t="shared" si="19"/>
        <v>82788</v>
      </c>
      <c r="O116" s="326">
        <f t="shared" si="19"/>
        <v>34615</v>
      </c>
      <c r="P116" s="339">
        <f t="shared" si="18"/>
        <v>3069239</v>
      </c>
      <c r="V116" s="496" t="s">
        <v>292</v>
      </c>
      <c r="W116" s="500">
        <v>91999914</v>
      </c>
      <c r="X116" s="525">
        <v>43678</v>
      </c>
      <c r="Y116" s="525">
        <v>43695</v>
      </c>
      <c r="Z116" s="497"/>
      <c r="AA116" s="497"/>
      <c r="AB116" s="498">
        <v>3330</v>
      </c>
      <c r="AC116" s="499">
        <v>12</v>
      </c>
      <c r="AD116" s="287">
        <v>72</v>
      </c>
      <c r="AE116" s="706">
        <f>_xlfn.DAYS(Y116,X116)+1</f>
        <v>18</v>
      </c>
    </row>
    <row r="117" spans="1:31">
      <c r="A117" s="436" t="s">
        <v>500</v>
      </c>
      <c r="B117" s="326">
        <f>ROUND(B178/B16/8,0)</f>
        <v>41667</v>
      </c>
      <c r="C117" s="326">
        <f>ROUND(C178/C16/8,0)</f>
        <v>36905</v>
      </c>
      <c r="D117" s="326"/>
      <c r="E117" s="326">
        <f>ROUND(E178/E16/8,0)</f>
        <v>65476</v>
      </c>
      <c r="F117" s="326">
        <f>ROUND(F178/F16/8,0)</f>
        <v>95238</v>
      </c>
      <c r="G117" s="326">
        <f>ROUND(G178/G16/8,0)</f>
        <v>442000</v>
      </c>
      <c r="H117" s="326">
        <f>ROUND(H178/H16/8,0)</f>
        <v>676813</v>
      </c>
      <c r="I117" s="326">
        <f>ROUND(I178/I16/8,0)</f>
        <v>524875</v>
      </c>
      <c r="J117" s="326">
        <f>ROUND(J178/J16/8,0)</f>
        <v>327381</v>
      </c>
      <c r="K117" s="326">
        <f>ROUND(K178/K16/8,0)</f>
        <v>59524</v>
      </c>
      <c r="L117" s="326">
        <f>ROUND(L178/L16/8,0)</f>
        <v>68452</v>
      </c>
      <c r="M117" s="326">
        <f>ROUND(M178/M16/8,0)</f>
        <v>41667</v>
      </c>
      <c r="N117" s="326">
        <f>ROUND(N178/N16/8,0)</f>
        <v>47619</v>
      </c>
      <c r="O117" s="326">
        <f>ROUND(O178/O16/8,0)</f>
        <v>35714</v>
      </c>
      <c r="P117" s="339">
        <f t="shared" si="18"/>
        <v>2463331</v>
      </c>
      <c r="Q117" s="285"/>
      <c r="R117" s="285"/>
      <c r="S117" s="285"/>
      <c r="T117" s="285"/>
      <c r="U117" s="285"/>
      <c r="V117" s="496" t="s">
        <v>292</v>
      </c>
      <c r="W117" s="524">
        <v>91999913</v>
      </c>
      <c r="X117" s="525">
        <v>43678</v>
      </c>
      <c r="Y117" s="525">
        <v>43695</v>
      </c>
      <c r="Z117" s="497"/>
      <c r="AA117" s="497"/>
      <c r="AB117" s="498">
        <v>3331</v>
      </c>
      <c r="AC117" s="499">
        <v>12</v>
      </c>
      <c r="AD117" s="287">
        <v>96</v>
      </c>
      <c r="AE117" s="706">
        <f>_xlfn.DAYS(Y117,X117)+1</f>
        <v>18</v>
      </c>
    </row>
    <row r="118" spans="1:31">
      <c r="A118" s="436" t="s">
        <v>621</v>
      </c>
      <c r="B118" s="326">
        <f>ROUND(SUM(B166:B172)/B16/8,0)</f>
        <v>94226</v>
      </c>
      <c r="C118" s="326">
        <f>ROUND(SUM(C166:C172)/C16/8,0)</f>
        <v>92798</v>
      </c>
      <c r="D118" s="326"/>
      <c r="E118" s="326">
        <f>ROUND(SUM(E166:E172)/E16/8,0)</f>
        <v>81726</v>
      </c>
      <c r="F118" s="326">
        <f>ROUND(SUM(F166:F172)/F16/8,0)</f>
        <v>81726</v>
      </c>
      <c r="G118" s="326">
        <f>ROUND(SUM(G166:G172)/G16/8,0)</f>
        <v>0</v>
      </c>
      <c r="H118" s="326">
        <f>ROUND(SUM(H166:H172)/H16/8,0)</f>
        <v>286609</v>
      </c>
      <c r="I118" s="326">
        <f>ROUND(SUM(I166:I172)/I16/8,0)</f>
        <v>58703</v>
      </c>
      <c r="J118" s="326">
        <f>ROUND(SUM(J166:J172)/J16/8,0)</f>
        <v>179940</v>
      </c>
      <c r="K118" s="326">
        <f>ROUND(SUM(K166:K172)/K16/8,0)</f>
        <v>99583</v>
      </c>
      <c r="L118" s="326">
        <f>ROUND(SUM(L166:L172)/L16/8,0)</f>
        <v>81726</v>
      </c>
      <c r="M118" s="326">
        <f>ROUND(SUM(M166:M172)/M16/8,0)</f>
        <v>102560</v>
      </c>
      <c r="N118" s="326">
        <f>ROUND(SUM(N166:N172)/N16/8,0)</f>
        <v>98690</v>
      </c>
      <c r="O118" s="326">
        <f>ROUND(SUM(O166:O172)/O16/8,0)</f>
        <v>0</v>
      </c>
      <c r="P118" s="339">
        <f t="shared" si="18"/>
        <v>1258287</v>
      </c>
      <c r="V118" s="496" t="s">
        <v>292</v>
      </c>
      <c r="W118" s="524">
        <v>91999911</v>
      </c>
      <c r="X118" s="525">
        <v>43678</v>
      </c>
      <c r="Y118" s="525">
        <v>43684</v>
      </c>
      <c r="Z118" s="497"/>
      <c r="AA118" s="497"/>
      <c r="AB118" s="498">
        <v>3320</v>
      </c>
      <c r="AC118" s="499">
        <v>5</v>
      </c>
      <c r="AD118" s="287">
        <v>40</v>
      </c>
      <c r="AE118" s="81"/>
    </row>
    <row r="119" spans="1:31">
      <c r="A119" s="436" t="s">
        <v>1457</v>
      </c>
      <c r="B119" s="326">
        <f>ROUND(B164*12/52/40,0)</f>
        <v>40385</v>
      </c>
      <c r="C119" s="326">
        <f t="shared" ref="C119:O119" si="20">ROUND(C164*12/52/40,0)</f>
        <v>35769</v>
      </c>
      <c r="D119" s="326"/>
      <c r="E119" s="326">
        <f t="shared" si="20"/>
        <v>63462</v>
      </c>
      <c r="F119" s="326">
        <f t="shared" si="20"/>
        <v>92308</v>
      </c>
      <c r="G119" s="326">
        <f t="shared" si="20"/>
        <v>468563</v>
      </c>
      <c r="H119" s="326">
        <f t="shared" si="20"/>
        <v>736313</v>
      </c>
      <c r="I119" s="326">
        <f t="shared" si="20"/>
        <v>562275</v>
      </c>
      <c r="J119" s="326">
        <f t="shared" si="20"/>
        <v>317308</v>
      </c>
      <c r="K119" s="326">
        <f t="shared" si="20"/>
        <v>57692</v>
      </c>
      <c r="L119" s="326">
        <f t="shared" si="20"/>
        <v>66346</v>
      </c>
      <c r="M119" s="326">
        <f t="shared" si="20"/>
        <v>40385</v>
      </c>
      <c r="N119" s="326">
        <f t="shared" si="20"/>
        <v>46154</v>
      </c>
      <c r="O119" s="326">
        <f t="shared" si="20"/>
        <v>34615</v>
      </c>
      <c r="P119" s="339">
        <f t="shared" si="18"/>
        <v>2561575</v>
      </c>
      <c r="V119" s="496" t="s">
        <v>292</v>
      </c>
      <c r="W119" s="524">
        <v>91999904</v>
      </c>
      <c r="X119" s="525">
        <v>43689</v>
      </c>
      <c r="Y119" s="525">
        <v>43708</v>
      </c>
      <c r="Z119" s="497"/>
      <c r="AA119" s="497"/>
      <c r="AB119" s="498">
        <v>3324</v>
      </c>
      <c r="AC119" s="499">
        <v>15</v>
      </c>
      <c r="AD119" s="287">
        <v>120</v>
      </c>
      <c r="AE119" s="81"/>
    </row>
    <row r="120" spans="1:31" s="154" customFormat="1">
      <c r="A120" s="436" t="s">
        <v>1465</v>
      </c>
      <c r="B120" s="326">
        <f>ROUND((B170+B171)/B16/8,0)</f>
        <v>19226</v>
      </c>
      <c r="C120" s="326">
        <f>ROUND((C170+C171)/C16/8,0)</f>
        <v>19226</v>
      </c>
      <c r="D120" s="326"/>
      <c r="E120" s="326">
        <f>ROUND((E170+E171)/E16/8,0)</f>
        <v>19226</v>
      </c>
      <c r="F120" s="326">
        <f>ROUND((F170+F171)/F16/8,0)</f>
        <v>19226</v>
      </c>
      <c r="G120" s="326">
        <f>ROUND((G170+G171)/G16/8,0)</f>
        <v>0</v>
      </c>
      <c r="H120" s="326">
        <f>ROUND((H170+H171)/H16/8,0)</f>
        <v>0</v>
      </c>
      <c r="I120" s="326">
        <f>ROUND((I170+I171)/I16/8,0)</f>
        <v>0</v>
      </c>
      <c r="J120" s="326">
        <f>ROUND((J170+J171)/J16/8,0)</f>
        <v>19226</v>
      </c>
      <c r="K120" s="326">
        <f>ROUND((K170+K171)/K16/8,0)</f>
        <v>19226</v>
      </c>
      <c r="L120" s="326">
        <f>ROUND((L170+L171)/L16/8,0)</f>
        <v>19226</v>
      </c>
      <c r="M120" s="326">
        <f>ROUND((M170+M171)/M16/8,0)</f>
        <v>19226</v>
      </c>
      <c r="N120" s="326">
        <f>ROUND((N170+N171)/N16/8,0)</f>
        <v>19226</v>
      </c>
      <c r="O120" s="326">
        <f>ROUND((O170+O171)/O16/8,0)</f>
        <v>0</v>
      </c>
      <c r="P120" s="339">
        <f t="shared" si="18"/>
        <v>173034</v>
      </c>
      <c r="Q120"/>
      <c r="R120"/>
      <c r="S120"/>
      <c r="T120"/>
      <c r="U120"/>
      <c r="V120" s="496" t="s">
        <v>292</v>
      </c>
      <c r="W120" s="524">
        <v>91999910</v>
      </c>
      <c r="X120" s="525">
        <v>43682</v>
      </c>
      <c r="Y120" s="525">
        <v>43689</v>
      </c>
      <c r="Z120" s="497"/>
      <c r="AA120" s="497"/>
      <c r="AB120" s="498">
        <v>3020</v>
      </c>
      <c r="AC120" s="499">
        <v>6</v>
      </c>
      <c r="AD120" s="287">
        <v>48</v>
      </c>
      <c r="AE120" s="81"/>
    </row>
    <row r="121" spans="1:31">
      <c r="A121" s="436" t="s">
        <v>501</v>
      </c>
      <c r="B121" s="670">
        <f>ROUND(B14/B16*B13,8)</f>
        <v>1</v>
      </c>
      <c r="C121" s="670">
        <f>ROUND(C14/C16*C13,8)</f>
        <v>0.9</v>
      </c>
      <c r="D121" s="670"/>
      <c r="E121" s="670">
        <f t="shared" ref="E121:O121" si="21">ROUND(E14/E16*E13,8)</f>
        <v>1</v>
      </c>
      <c r="F121" s="670">
        <f t="shared" si="21"/>
        <v>0.8</v>
      </c>
      <c r="G121" s="670">
        <f t="shared" si="21"/>
        <v>1</v>
      </c>
      <c r="H121" s="670">
        <f t="shared" si="21"/>
        <v>0.5</v>
      </c>
      <c r="I121" s="670">
        <f t="shared" si="21"/>
        <v>0.75</v>
      </c>
      <c r="J121" s="670">
        <f t="shared" si="21"/>
        <v>0.6</v>
      </c>
      <c r="K121" s="670">
        <f t="shared" si="21"/>
        <v>1</v>
      </c>
      <c r="L121" s="670">
        <f t="shared" si="21"/>
        <v>1</v>
      </c>
      <c r="M121" s="670">
        <f t="shared" si="21"/>
        <v>1</v>
      </c>
      <c r="N121" s="670">
        <f t="shared" si="21"/>
        <v>1</v>
      </c>
      <c r="O121" s="670">
        <f t="shared" si="21"/>
        <v>0.75</v>
      </c>
      <c r="P121" s="653"/>
      <c r="V121" s="496" t="s">
        <v>292</v>
      </c>
      <c r="W121" s="500">
        <v>91999902</v>
      </c>
      <c r="X121" s="525" t="s">
        <v>1448</v>
      </c>
      <c r="Y121" s="525" t="s">
        <v>1448</v>
      </c>
      <c r="Z121" s="497">
        <v>0.54166666666666663</v>
      </c>
      <c r="AA121" s="497">
        <v>0.70833333333333337</v>
      </c>
      <c r="AB121" s="498">
        <v>3021</v>
      </c>
      <c r="AC121" s="499">
        <f>ROUND(4/(8*90%),2)</f>
        <v>0.56000000000000005</v>
      </c>
      <c r="AD121" s="287">
        <v>4</v>
      </c>
      <c r="AE121" s="81"/>
    </row>
    <row r="122" spans="1:31">
      <c r="A122" s="436" t="s">
        <v>502</v>
      </c>
      <c r="B122" s="670">
        <f>ROUND(B14/261*B13,8)</f>
        <v>8.045977E-2</v>
      </c>
      <c r="C122" s="670">
        <f t="shared" ref="C122:O122" si="22">ROUND(C14/261*C13,8)</f>
        <v>7.2413790000000006E-2</v>
      </c>
      <c r="D122" s="670">
        <f t="shared" si="22"/>
        <v>0</v>
      </c>
      <c r="E122" s="670">
        <f t="shared" si="22"/>
        <v>8.045977E-2</v>
      </c>
      <c r="F122" s="670">
        <f t="shared" si="22"/>
        <v>6.4367820000000006E-2</v>
      </c>
      <c r="G122" s="670">
        <f t="shared" si="22"/>
        <v>8.045977E-2</v>
      </c>
      <c r="H122" s="670">
        <f t="shared" si="22"/>
        <v>4.0229889999999997E-2</v>
      </c>
      <c r="I122" s="670">
        <f t="shared" si="22"/>
        <v>6.0344830000000002E-2</v>
      </c>
      <c r="J122" s="670">
        <f t="shared" si="22"/>
        <v>4.8275859999999997E-2</v>
      </c>
      <c r="K122" s="670">
        <f t="shared" si="22"/>
        <v>8.045977E-2</v>
      </c>
      <c r="L122" s="670">
        <f t="shared" si="22"/>
        <v>8.045977E-2</v>
      </c>
      <c r="M122" s="670">
        <f t="shared" si="22"/>
        <v>8.045977E-2</v>
      </c>
      <c r="N122" s="670">
        <f t="shared" si="22"/>
        <v>8.045977E-2</v>
      </c>
      <c r="O122" s="670">
        <f t="shared" si="22"/>
        <v>6.0344830000000002E-2</v>
      </c>
      <c r="P122" s="653"/>
      <c r="V122" s="496" t="s">
        <v>292</v>
      </c>
      <c r="W122" s="500">
        <v>91999901</v>
      </c>
      <c r="X122" s="525">
        <v>43689</v>
      </c>
      <c r="Y122" s="525">
        <v>43703</v>
      </c>
      <c r="Z122" s="497"/>
      <c r="AA122" s="497"/>
      <c r="AB122" s="498">
        <v>3322</v>
      </c>
      <c r="AC122" s="499">
        <v>11</v>
      </c>
      <c r="AD122" s="287">
        <v>88</v>
      </c>
      <c r="AE122" s="81"/>
    </row>
    <row r="123" spans="1:31" s="5" customFormat="1">
      <c r="A123" s="452" t="s">
        <v>1471</v>
      </c>
      <c r="B123" s="671">
        <f>ROUND(('UAT8-Aug'!B14-ROUND(B173/8/B13,2))/261,7)</f>
        <v>6.51341E-2</v>
      </c>
      <c r="C123" s="671">
        <f>ROUND(('UAT8-Aug'!C14-ROUND(C173/8/C13,2))/261*C13,8)</f>
        <v>6.5517240000000004E-2</v>
      </c>
      <c r="D123" s="671"/>
      <c r="E123" s="671">
        <f>ROUND(('UAT8-Aug'!E14-ROUND(E173/8/E13,2))/261*E13,8)</f>
        <v>8.4291190000000002E-2</v>
      </c>
      <c r="F123" s="671">
        <f>ROUND(('UAT8-Aug'!F14-ROUND(F173/8/F13,2))/261*F13,8)</f>
        <v>6.7432950000000005E-2</v>
      </c>
      <c r="G123" s="671">
        <f>ROUND(('UAT8-Aug'!G14-ROUND(G173/8/G13,2))/261*G13,8)</f>
        <v>8.4291190000000002E-2</v>
      </c>
      <c r="H123" s="671">
        <f>ROUND(('UAT8-Aug'!H14-ROUND(H173/8/H13,2))/261*H13,8)</f>
        <v>3.256705E-2</v>
      </c>
      <c r="I123" s="671">
        <f>ROUND(('UAT8-Aug'!I14-ROUND(I173/8/I13,2))/261*I13,8)</f>
        <v>6.3218389999999999E-2</v>
      </c>
      <c r="J123" s="671">
        <f>ROUND(('UAT8-Aug'!J14-ROUND(J173/8/J13,2))/261*J13,8)</f>
        <v>5.0574710000000002E-2</v>
      </c>
      <c r="K123" s="671">
        <f>ROUND(('UAT8-Aug'!K14-ROUND(K173/8/K13,2))/261*K13,8)</f>
        <v>8.045977E-2</v>
      </c>
      <c r="L123" s="671">
        <f>ROUND(('UAT8-Aug'!L14-ROUND(L173/8/L13,2))/261*L13,8)</f>
        <v>8.4291190000000002E-2</v>
      </c>
      <c r="M123" s="671">
        <f>ROUND(('UAT8-Aug'!M14-ROUND(M173/8/M13,2))/261*M13,8)</f>
        <v>8.4291190000000002E-2</v>
      </c>
      <c r="N123" s="671">
        <f>ROUND(('UAT8-Aug'!N14-ROUND(N173/8/N13,2))/261*N13,8)</f>
        <v>3.8314180000000003E-2</v>
      </c>
      <c r="O123" s="671">
        <f>ROUND(('UAT8-Aug'!O14-ROUND(O173/8/O13,2))/261*O13,8)</f>
        <v>2.8735630000000002E-2</v>
      </c>
      <c r="P123" s="692"/>
      <c r="Q123"/>
      <c r="R123"/>
      <c r="S123"/>
      <c r="T123"/>
      <c r="U123"/>
      <c r="V123" s="496" t="s">
        <v>292</v>
      </c>
      <c r="W123" s="500">
        <v>91999910</v>
      </c>
      <c r="X123" s="525">
        <v>43707</v>
      </c>
      <c r="Y123" s="525">
        <v>43707</v>
      </c>
      <c r="Z123" s="497">
        <v>0.33333333333333331</v>
      </c>
      <c r="AA123" s="497">
        <v>0.70833333333333337</v>
      </c>
      <c r="AB123" s="498">
        <v>3321</v>
      </c>
      <c r="AC123" s="499">
        <v>1</v>
      </c>
      <c r="AD123" s="287">
        <v>8</v>
      </c>
      <c r="AE123" s="81"/>
    </row>
    <row r="124" spans="1:31" s="5" customFormat="1">
      <c r="A124" s="442" t="s">
        <v>492</v>
      </c>
      <c r="B124" s="326">
        <f>ROUND(AA25*B17/365,0)</f>
        <v>657534</v>
      </c>
      <c r="C124" s="326">
        <f>ROUND(AA26*C17/365,0)</f>
        <v>657534</v>
      </c>
      <c r="E124" s="326">
        <f>ROUND(AA27*E17/365,0)</f>
        <v>657534</v>
      </c>
      <c r="F124" s="326">
        <f>ROUND(AA28*F17/365,0)</f>
        <v>657534</v>
      </c>
      <c r="G124" s="326"/>
      <c r="H124" s="326">
        <f>ROUND(AA29*G17/365,0)</f>
        <v>657534</v>
      </c>
      <c r="I124" s="326"/>
      <c r="J124" s="326"/>
      <c r="K124" s="334"/>
      <c r="L124" s="334"/>
      <c r="M124" s="334"/>
      <c r="N124" s="334"/>
      <c r="O124" s="334"/>
      <c r="P124" s="339">
        <f t="shared" si="18"/>
        <v>3287670</v>
      </c>
      <c r="Q124"/>
      <c r="R124"/>
      <c r="S124"/>
      <c r="T124"/>
      <c r="U124"/>
      <c r="V124" s="496" t="s">
        <v>292</v>
      </c>
      <c r="W124" s="524">
        <v>91999911</v>
      </c>
      <c r="X124" s="525">
        <v>43692</v>
      </c>
      <c r="Y124" s="525">
        <v>43699</v>
      </c>
      <c r="Z124" s="497"/>
      <c r="AA124" s="497"/>
      <c r="AB124" s="498">
        <v>3323</v>
      </c>
      <c r="AC124" s="499">
        <v>6</v>
      </c>
      <c r="AD124" s="287">
        <v>48</v>
      </c>
      <c r="AE124" s="282"/>
    </row>
    <row r="125" spans="1:31" s="5" customFormat="1">
      <c r="A125" s="436" t="s">
        <v>534</v>
      </c>
      <c r="B125" s="326"/>
      <c r="C125" s="326"/>
      <c r="E125" s="326"/>
      <c r="F125" s="326"/>
      <c r="G125" s="326"/>
      <c r="H125" s="326">
        <f>ROUND(AA30*G17/365,0)</f>
        <v>575342</v>
      </c>
      <c r="I125" s="326"/>
      <c r="J125" s="326"/>
      <c r="K125" s="326"/>
      <c r="L125" s="326"/>
      <c r="M125" s="326"/>
      <c r="N125" s="326"/>
      <c r="O125" s="326"/>
      <c r="P125" s="339">
        <f t="shared" si="18"/>
        <v>575342</v>
      </c>
      <c r="Q125"/>
      <c r="R125"/>
      <c r="S125"/>
      <c r="T125"/>
      <c r="U125"/>
      <c r="V125" s="496" t="s">
        <v>292</v>
      </c>
      <c r="W125" s="524">
        <v>91999913</v>
      </c>
      <c r="X125" s="525">
        <v>43697</v>
      </c>
      <c r="Y125" s="525">
        <v>43708</v>
      </c>
      <c r="Z125" s="497"/>
      <c r="AA125" s="497"/>
      <c r="AB125" s="498">
        <v>3325</v>
      </c>
      <c r="AC125" s="499">
        <v>9</v>
      </c>
      <c r="AD125" s="287">
        <v>72</v>
      </c>
      <c r="AE125" s="81"/>
    </row>
    <row r="126" spans="1:31" s="5" customFormat="1">
      <c r="A126" s="405"/>
      <c r="B126" s="325"/>
      <c r="C126" s="326"/>
      <c r="D126" s="326"/>
      <c r="E126" s="334"/>
      <c r="F126" s="326"/>
      <c r="G126" s="326"/>
      <c r="H126" s="326"/>
      <c r="I126" s="326"/>
      <c r="J126" s="326"/>
      <c r="K126" s="334"/>
      <c r="L126" s="334"/>
      <c r="M126" s="334"/>
      <c r="N126" s="334"/>
      <c r="O126" s="334"/>
      <c r="P126" s="339"/>
      <c r="Q126"/>
      <c r="R126"/>
      <c r="S126"/>
      <c r="T126"/>
      <c r="U126"/>
      <c r="V126" s="496" t="s">
        <v>292</v>
      </c>
      <c r="W126" s="524">
        <v>91999907</v>
      </c>
      <c r="X126" s="525" t="s">
        <v>1469</v>
      </c>
      <c r="Y126" s="525" t="s">
        <v>1470</v>
      </c>
      <c r="Z126" s="497"/>
      <c r="AA126" s="497"/>
      <c r="AB126" s="498">
        <v>3000</v>
      </c>
      <c r="AC126" s="499">
        <v>5</v>
      </c>
      <c r="AD126" s="287">
        <v>20</v>
      </c>
      <c r="AE126" s="81">
        <v>5</v>
      </c>
    </row>
    <row r="127" spans="1:31" s="5" customFormat="1">
      <c r="A127" s="405" t="s">
        <v>576</v>
      </c>
      <c r="B127" s="325">
        <f>SUM(B25:B41)</f>
        <v>29138969</v>
      </c>
      <c r="C127" s="326">
        <f>SUM(C25:C41)</f>
        <v>16441541</v>
      </c>
      <c r="D127" s="326"/>
      <c r="E127" s="326">
        <f>SUM(E25:E41)</f>
        <v>7868680</v>
      </c>
      <c r="F127" s="326">
        <f>SUM(F25:F41)</f>
        <v>23784000</v>
      </c>
      <c r="G127" s="326">
        <f>SUM(G25:G41)</f>
        <v>74256000</v>
      </c>
      <c r="H127" s="326">
        <f>SUM(H25:H41)</f>
        <v>74107172</v>
      </c>
      <c r="I127" s="326">
        <f>SUM(I25:I41)</f>
        <v>73530844</v>
      </c>
      <c r="J127" s="326">
        <f>SUM(J25:J41)</f>
        <v>51138000</v>
      </c>
      <c r="K127" s="326">
        <f>SUM(K25:K41)</f>
        <v>40203398</v>
      </c>
      <c r="L127" s="326">
        <f>SUM(L25:L41)</f>
        <v>18881070</v>
      </c>
      <c r="M127" s="326">
        <f>SUM(M25:M41)</f>
        <v>26653100</v>
      </c>
      <c r="N127" s="326">
        <f>SUM(N25:N41)</f>
        <v>1117120</v>
      </c>
      <c r="O127" s="326">
        <f>SUM(O25:O41)</f>
        <v>2045448</v>
      </c>
      <c r="P127" s="339">
        <f t="shared" ref="P127:P161" si="23">SUM(B127:O127)</f>
        <v>439165342</v>
      </c>
      <c r="Q127"/>
      <c r="R127"/>
      <c r="S127"/>
      <c r="T127"/>
      <c r="U127"/>
      <c r="V127" s="496">
        <v>2013</v>
      </c>
      <c r="W127" s="524">
        <v>91999902</v>
      </c>
      <c r="X127" s="525" t="s">
        <v>1439</v>
      </c>
      <c r="Y127" s="525" t="s">
        <v>1439</v>
      </c>
      <c r="Z127" s="497"/>
      <c r="AA127" s="497"/>
      <c r="AB127" s="498">
        <v>71</v>
      </c>
      <c r="AC127" s="499">
        <v>162</v>
      </c>
      <c r="AD127" s="287"/>
      <c r="AE127" s="81"/>
    </row>
    <row r="128" spans="1:31" s="5" customFormat="1">
      <c r="A128" s="436" t="s">
        <v>484</v>
      </c>
      <c r="B128" s="326">
        <f>SUM(B25:B28,B30:B36,B43)</f>
        <v>26103747</v>
      </c>
      <c r="C128" s="326">
        <f>SUM(C25:C28,C30:C36,C43)</f>
        <v>13885141</v>
      </c>
      <c r="D128" s="326">
        <f>SUM(D25:D28,D30:D36,D43)</f>
        <v>0</v>
      </c>
      <c r="E128" s="326">
        <f>SUM(E25:E28,E30:E36,E43)</f>
        <v>4930847</v>
      </c>
      <c r="F128" s="326">
        <f>SUM(F25:F28,F30:F36,F43)</f>
        <v>21200000</v>
      </c>
      <c r="G128" s="326">
        <f>SUM(G25:G28,G30:G36,G43)</f>
        <v>74256000</v>
      </c>
      <c r="H128" s="326">
        <f>SUM(H25:H28,H30:H36,H43)</f>
        <v>78811525</v>
      </c>
      <c r="I128" s="326">
        <f>SUM(I25:I28,I30:I36,I43)</f>
        <v>73530844</v>
      </c>
      <c r="J128" s="326">
        <f>SUM(J25:J28,J30:J36,J43)</f>
        <v>49200000</v>
      </c>
      <c r="K128" s="326">
        <f>SUM(K25:K28,K30:K36,K43)</f>
        <v>36973398</v>
      </c>
      <c r="L128" s="326">
        <f>SUM(L25:L28,L30:L36,L43)</f>
        <v>15651070</v>
      </c>
      <c r="M128" s="326">
        <f>SUM(M25:M28,M30:M36,M43)</f>
        <v>22211550</v>
      </c>
      <c r="N128" s="326">
        <f>SUM(N25:N28,N30:N36,N43)</f>
        <v>-2112880</v>
      </c>
      <c r="O128" s="326">
        <f>SUM(O25:O28,O30:O36,O43)</f>
        <v>2045448</v>
      </c>
      <c r="P128" s="339">
        <f t="shared" si="23"/>
        <v>416686690</v>
      </c>
      <c r="Q128"/>
      <c r="R128"/>
      <c r="S128"/>
      <c r="T128"/>
      <c r="U128"/>
      <c r="V128" s="496">
        <v>2013</v>
      </c>
      <c r="W128" s="524">
        <v>91999905</v>
      </c>
      <c r="X128" s="525" t="s">
        <v>1444</v>
      </c>
      <c r="Y128" s="525" t="s">
        <v>1444</v>
      </c>
      <c r="Z128" s="497"/>
      <c r="AA128" s="497"/>
      <c r="AB128" s="498">
        <v>71</v>
      </c>
      <c r="AC128" s="499">
        <v>149.35</v>
      </c>
      <c r="AD128" s="287"/>
      <c r="AE128" s="81"/>
    </row>
    <row r="129" spans="1:31" s="5" customFormat="1">
      <c r="A129" s="436" t="s">
        <v>578</v>
      </c>
      <c r="B129" s="326">
        <f>MIN(IF(OR(B19="A",B19="B"),SUM(B178,B166,B167,B169)*B13,B179),29800000)</f>
        <v>12600000</v>
      </c>
      <c r="C129" s="326">
        <f>MIN(IF(OR(C19="A",C19="B"),SUM(C178,C166,C167,C169)*C13,C179),29800000)</f>
        <v>10404000</v>
      </c>
      <c r="D129" s="326">
        <f>MIN(IF(OR(D19="A",D19="B"),SUM(D178,D166,D167,D169)*D13,D179),29800000)</f>
        <v>0</v>
      </c>
      <c r="E129" s="326">
        <f>MIN(IF(OR(E19="A",E19="B"),SUM(E178,E166,E167,E169)*E13,E179),29800000)</f>
        <v>14500000</v>
      </c>
      <c r="F129" s="326">
        <f>MIN(IF(OR(F19="A",F19="B"),SUM(F178,F166,F167,F169)*F13,F179),29800000)</f>
        <v>15600000</v>
      </c>
      <c r="G129" s="326">
        <f>MIN(IF(OR(G19="A",G19="B"),SUM(G178,G166,G167,G169)*G13,G179),29800000)</f>
        <v>29800000</v>
      </c>
      <c r="H129" s="326">
        <f>MIN(IF(OR(H19="A",H19="B"),SUM(H178,H166,H167,H169)*H13,H179),29800000)</f>
        <v>29800000</v>
      </c>
      <c r="I129" s="326">
        <f>MIN(IF(OR(I19="A",I19="B"),SUM(I178,I166,I167,I169)*I13,I179),29800000)</f>
        <v>29800000</v>
      </c>
      <c r="J129" s="326">
        <f>MIN(IF(OR(J19="A",J19="B"),SUM(J178,J166,J167,J169)*J13,J179),29800000)</f>
        <v>29800000</v>
      </c>
      <c r="K129" s="326">
        <f>MIN(IF(OR(K19="A",K19="B"),SUM(K178,K166,K167,K169)*K13,K179),29800000)</f>
        <v>16500000</v>
      </c>
      <c r="L129" s="326">
        <f>MIN(IF(OR(L19="A",L19="B"),SUM(L178,L166,L167,L169)*L13,L179),29800000)</f>
        <v>15000000</v>
      </c>
      <c r="M129" s="326">
        <f>MIN(IF(OR(M19="A",M19="B"),SUM(M178,M166,M167,M169)*M13,M179),29800000)</f>
        <v>14000000</v>
      </c>
      <c r="N129" s="326">
        <f>MIN(IF(OR(N19="A",N19="B"),SUM(N178,N166,N167,N169)*N13,N179),29800000)</f>
        <v>14350000</v>
      </c>
      <c r="O129" s="326">
        <f>MIN(IF(OR(O19="A",O19="B"),SUM(O178,O166,O167,O169)*O13,O179),29800000)</f>
        <v>4500000</v>
      </c>
      <c r="P129" s="339">
        <f t="shared" si="23"/>
        <v>236654000</v>
      </c>
      <c r="Q129"/>
      <c r="R129"/>
      <c r="S129"/>
      <c r="T129"/>
      <c r="U129"/>
      <c r="V129" s="496">
        <v>2013</v>
      </c>
      <c r="W129" s="524">
        <v>91999901</v>
      </c>
      <c r="X129" s="525" t="s">
        <v>1439</v>
      </c>
      <c r="Y129" s="525" t="s">
        <v>1439</v>
      </c>
      <c r="Z129" s="497"/>
      <c r="AA129" s="497"/>
      <c r="AB129" s="498">
        <v>72</v>
      </c>
      <c r="AC129" s="499">
        <f>ROUND((1584-18)/1828*5*8,2)</f>
        <v>34.270000000000003</v>
      </c>
      <c r="AD129"/>
      <c r="AE129" s="81"/>
    </row>
    <row r="130" spans="1:31" s="5" customFormat="1">
      <c r="A130" s="405" t="s">
        <v>1200</v>
      </c>
      <c r="B130" s="326">
        <f>IF(OR(B19="A",B19="B"),SUM(B178,B166,B167,B169)*B13,B180)</f>
        <v>12600000</v>
      </c>
      <c r="C130" s="326">
        <f>IF(OR(C19="A",C19="B"),SUM(C178,C166,C167,C169)*C13,C180)</f>
        <v>10404000</v>
      </c>
      <c r="D130" s="326">
        <f>IF(OR(D19="A",D19="B"),SUM(D178,D166,D167,D169)*D13,D180)</f>
        <v>0</v>
      </c>
      <c r="E130" s="326">
        <f>IF(OR(E19="A",E19="B"),SUM(E178,E166,E167,E169)*E13,E180)</f>
        <v>14500000</v>
      </c>
      <c r="F130" s="326">
        <f>IF(OR(F19="A",F19="B"),SUM(F178,F166,F167,F169)*F13,F180)</f>
        <v>15600000</v>
      </c>
      <c r="G130" s="326">
        <f>IF(OR(G19="A",G19="B"),SUM(G178,G166,G167,G169)*G13,G180)</f>
        <v>75200000</v>
      </c>
      <c r="H130" s="326">
        <f>IF(OR(H19="A",H19="B"),SUM(H178,H166,H167,H169)*H13,H180)</f>
        <v>79312500</v>
      </c>
      <c r="I130" s="326">
        <f>IF(OR(I19="A",I19="B"),SUM(I178,I166,I167,I169)*I13,I180)</f>
        <v>70500000</v>
      </c>
      <c r="J130" s="326">
        <f>IF(OR(J19="A",J19="B"),SUM(J178,J166,J167,J169)*J13,J180)</f>
        <v>45000000</v>
      </c>
      <c r="K130" s="326">
        <f>IF(OR(K19="A",K19="B"),SUM(K178,K166,K167,K169)*K13,K180)</f>
        <v>16500000</v>
      </c>
      <c r="L130" s="326">
        <f>IF(OR(L19="A",L19="B"),SUM(L178,L166,L167,L169)*L13,L180)</f>
        <v>15000000</v>
      </c>
      <c r="M130" s="326">
        <f>IF(OR(M19="A",M19="B"),SUM(M178,M166,M167,M169)*M13,M180)</f>
        <v>14000000</v>
      </c>
      <c r="N130" s="326">
        <f>IF(OR(N19="A",N19="B"),SUM(N178,N166,N167,N169)*N13,N180)</f>
        <v>14350000</v>
      </c>
      <c r="O130" s="326">
        <f>IF(OR(O19="A",O19="B"),SUM(O178,O166,O167,O169)*O13,O180)</f>
        <v>4500000</v>
      </c>
      <c r="P130" s="339">
        <f t="shared" si="23"/>
        <v>387466500</v>
      </c>
      <c r="Q130"/>
      <c r="R130"/>
      <c r="S130"/>
      <c r="T130"/>
      <c r="U130"/>
      <c r="V130" s="496">
        <v>2013</v>
      </c>
      <c r="W130" s="524">
        <v>91999907</v>
      </c>
      <c r="X130" s="525" t="s">
        <v>1439</v>
      </c>
      <c r="Y130" s="525" t="s">
        <v>1439</v>
      </c>
      <c r="Z130" s="497"/>
      <c r="AA130" s="497"/>
      <c r="AB130" s="498">
        <v>72</v>
      </c>
      <c r="AC130" s="499">
        <f>ROUND(1584/1828*5*8*50%,2)</f>
        <v>17.329999999999998</v>
      </c>
      <c r="AD130"/>
      <c r="AE130" s="81"/>
    </row>
    <row r="131" spans="1:31" s="5" customFormat="1">
      <c r="A131" s="405" t="s">
        <v>580</v>
      </c>
      <c r="B131" s="326">
        <f>IF(OR(B19="A",B19="B"),ROUND(SUM(B178,B166,B167,B169,B170,B171)*B13,0),ROUND(SUM(B178,B166,B167,B169)*B13,0))</f>
        <v>15830000</v>
      </c>
      <c r="C131" s="326">
        <f>IF(OR(C19="A",C19="B"),ROUND(SUM(C178,C166,C167,C169,C170,C171)*C13,0),ROUND(SUM(C178,C166,C167,C169)*C13,0))</f>
        <v>13311000</v>
      </c>
      <c r="D131" s="326"/>
      <c r="E131" s="326">
        <f>IF(OR(E19="A",E19="B"),ROUND(SUM(E178,E166,E167,E169,E170,E171)*E13,0),ROUND(SUM(E178,E166,E167,E169)*E13,0))</f>
        <v>17730000</v>
      </c>
      <c r="F131" s="326">
        <f>IF(OR(F19="A",F19="B"),ROUND(SUM(F178,F166,F167,F169,F170,F171)*F13,0),ROUND(SUM(F178,F166,F167,F169)*F13,0))</f>
        <v>18184000</v>
      </c>
      <c r="G131" s="326">
        <f>IF(OR(G19="A",G19="B"),ROUND(SUM(G178,G166,G167,G169,G170,G171)*G13,0),ROUND(SUM(G178,G166,G167,G169)*G13,0))</f>
        <v>74256000</v>
      </c>
      <c r="H131" s="326">
        <f>IF(OR(H19="A",H19="B"),ROUND(SUM(H178,H166,H167,H169,H170,H171)*H13,0),ROUND(SUM(H178,H166,H167,H169)*H13,0))</f>
        <v>78316875</v>
      </c>
      <c r="I131" s="326">
        <f>IF(OR(I19="A",I19="B"),ROUND(SUM(I178,I166,I167,I169,I170,I171)*I13,0),ROUND(SUM(I178,I166,I167,I169)*I13,0))</f>
        <v>69615000</v>
      </c>
      <c r="J131" s="326">
        <f>IF(OR(J19="A",J19="B"),ROUND(SUM(J178,J166,J167,J169,J170,J171)*J13,0),ROUND(SUM(J178,J166,J167,J169)*J13,0))</f>
        <v>46938000</v>
      </c>
      <c r="K131" s="326">
        <f>IF(OR(K19="A",K19="B"),ROUND(SUM(K178,K166,K167,K169,K170,K171)*K13,0),ROUND(SUM(K178,K166,K167,K169)*K13,0))</f>
        <v>19730000</v>
      </c>
      <c r="L131" s="326">
        <f>IF(OR(L19="A",L19="B"),ROUND(SUM(L178,L166,L167,L169,L170,L171)*L13,0),ROUND(SUM(L178,L166,L167,L169)*L13,0))</f>
        <v>18230000</v>
      </c>
      <c r="M131" s="326">
        <f>IF(OR(M19="A",M19="B"),ROUND(SUM(M178,M166,M167,M169,M170,M171)*M13,0),ROUND(SUM(M178,M166,M167,M169)*M13,0))</f>
        <v>17230000</v>
      </c>
      <c r="N131" s="326">
        <f>IF(OR(N19="A",N19="B"),ROUND(SUM(N178,N166,N167,N169,N170,N171)*N13,0),ROUND(SUM(N178,N166,N167,N169)*N13,0))</f>
        <v>17580000</v>
      </c>
      <c r="O131" s="326">
        <f>IF(OR(O19="A",O19="B"),ROUND(SUM(O178,O166,O167,O169,O170,O171)*O13,0),ROUND(SUM(O178,O166,O167,O169)*O13,0))</f>
        <v>4500000</v>
      </c>
      <c r="P131" s="339">
        <f t="shared" si="23"/>
        <v>411450875</v>
      </c>
      <c r="Q131"/>
      <c r="R131"/>
      <c r="S131"/>
      <c r="T131"/>
      <c r="U131"/>
      <c r="V131" s="496">
        <v>2013</v>
      </c>
      <c r="W131" s="524">
        <v>91999910</v>
      </c>
      <c r="X131" s="525" t="s">
        <v>1439</v>
      </c>
      <c r="Y131" s="525" t="s">
        <v>1439</v>
      </c>
      <c r="Z131" s="497"/>
      <c r="AA131" s="497"/>
      <c r="AB131" s="498">
        <v>72</v>
      </c>
      <c r="AC131" s="499">
        <f>ROUND(1571/1828*40,2)</f>
        <v>34.380000000000003</v>
      </c>
      <c r="AD131"/>
      <c r="AE131" s="81"/>
    </row>
    <row r="132" spans="1:31" s="5" customFormat="1">
      <c r="A132" s="405" t="s">
        <v>481</v>
      </c>
      <c r="B132" s="326">
        <f>ROUND('UAT8-Aug'!B67/6,0)</f>
        <v>8921667</v>
      </c>
      <c r="C132" s="326">
        <f>ROUND('UAT8-Aug'!C67/6,0)</f>
        <v>7269000</v>
      </c>
      <c r="D132" s="326"/>
      <c r="E132" s="326">
        <f>ROUND('UAT8-Aug'!E67/6,0)</f>
        <v>10955000</v>
      </c>
      <c r="F132" s="326">
        <f>ROUND('UAT8-Aug'!F67/6,0)</f>
        <v>12897333</v>
      </c>
      <c r="G132" s="326">
        <f>ROUND('UAT8-Aug'!G67/6,0)</f>
        <v>49504000</v>
      </c>
      <c r="H132" s="326">
        <f>ROUND('UAT8-Aug'!H67/6,0)</f>
        <v>72612313</v>
      </c>
      <c r="I132" s="326">
        <f>ROUND('UAT8-Aug'!I67/6,0)</f>
        <v>64974000</v>
      </c>
      <c r="J132" s="326">
        <f>ROUND('UAT8-Aug'!J67/6,0)</f>
        <v>41623000</v>
      </c>
      <c r="K132" s="326">
        <f>ROUND('UAT8-Aug'!K67/6,0)</f>
        <v>12821667</v>
      </c>
      <c r="L132" s="326">
        <f>ROUND('UAT8-Aug'!L67/6,0)</f>
        <v>51871667</v>
      </c>
      <c r="M132" s="326">
        <f>ROUND('UAT8-Aug'!M67/6,0)</f>
        <v>10121667</v>
      </c>
      <c r="N132" s="326">
        <f>ROUND('UAT8-Aug'!N67/6,0)</f>
        <v>10800000</v>
      </c>
      <c r="O132" s="326">
        <f>ROUND('UAT8-Aug'!O67/6,0)</f>
        <v>3375000</v>
      </c>
      <c r="P132" s="339">
        <f t="shared" si="23"/>
        <v>357746314</v>
      </c>
      <c r="Q132"/>
      <c r="R132"/>
      <c r="S132"/>
      <c r="T132"/>
      <c r="U132"/>
      <c r="V132" s="496">
        <v>2013</v>
      </c>
      <c r="W132" s="524">
        <v>91999911</v>
      </c>
      <c r="X132" s="525" t="s">
        <v>1439</v>
      </c>
      <c r="Y132" s="525" t="s">
        <v>1439</v>
      </c>
      <c r="Z132" s="497"/>
      <c r="AA132" s="497"/>
      <c r="AB132" s="498">
        <v>72</v>
      </c>
      <c r="AC132" s="499">
        <f>ROUND(1207/1828*40,2)+ROUND(365/1828*40*0.5,2)</f>
        <v>30.4</v>
      </c>
      <c r="AD132"/>
      <c r="AE132" s="81"/>
    </row>
    <row r="133" spans="1:31">
      <c r="A133" s="436" t="s">
        <v>600</v>
      </c>
      <c r="B133" s="326">
        <f>SUM(B49:B54)</f>
        <v>0</v>
      </c>
      <c r="C133" s="326">
        <f>SUM(C49:C54)</f>
        <v>1092420</v>
      </c>
      <c r="D133" s="326">
        <f>SUM(D49:D54)</f>
        <v>0</v>
      </c>
      <c r="E133" s="326">
        <f>SUM(E49:E54)</f>
        <v>0</v>
      </c>
      <c r="F133" s="326">
        <f>SUM(F49:F54)</f>
        <v>0</v>
      </c>
      <c r="G133" s="326">
        <f>SUM(G49:G54)</f>
        <v>447000</v>
      </c>
      <c r="H133" s="326">
        <f>SUM(H49:H54)</f>
        <v>447000</v>
      </c>
      <c r="I133" s="326">
        <f>SUM(I49:I54)</f>
        <v>447000</v>
      </c>
      <c r="J133" s="326">
        <f>SUM(J49:J54)</f>
        <v>3281000</v>
      </c>
      <c r="K133" s="326">
        <f>SUM(K49:K54)</f>
        <v>0</v>
      </c>
      <c r="L133" s="326">
        <f>SUM(L49:L54)</f>
        <v>1575000</v>
      </c>
      <c r="M133" s="326">
        <f>SUM(M49:M54)</f>
        <v>0</v>
      </c>
      <c r="N133" s="326">
        <f>SUM(N49:N54)</f>
        <v>0</v>
      </c>
      <c r="O133" s="326">
        <f>SUM(O49:O54)</f>
        <v>0</v>
      </c>
      <c r="P133" s="339">
        <f t="shared" si="23"/>
        <v>7289420</v>
      </c>
      <c r="V133" s="33"/>
      <c r="W133" s="45"/>
      <c r="X133" s="13"/>
      <c r="Y133" s="13"/>
      <c r="Z133" s="13"/>
      <c r="AA133" s="13"/>
      <c r="AB133" s="13"/>
      <c r="AC133" s="18"/>
      <c r="AE133" s="81"/>
    </row>
    <row r="134" spans="1:31">
      <c r="A134" s="436" t="s">
        <v>577</v>
      </c>
      <c r="B134" s="326">
        <f>IF(OR(B19="A",B19="C"),B128-B133,B128)</f>
        <v>26103747</v>
      </c>
      <c r="C134" s="326">
        <f>IF(OR(C19="A",C19="C"),C128-C133,C128)</f>
        <v>12792721</v>
      </c>
      <c r="D134" s="326">
        <f>IF(OR(D19="A",D19="C"),D128-D133,D128)</f>
        <v>0</v>
      </c>
      <c r="E134" s="326">
        <f>IF(OR(E19="A",E19="C"),E128-E133,E128)</f>
        <v>4930847</v>
      </c>
      <c r="F134" s="326">
        <f>IF(OR(F19="A",F19="C"),F128-F133,F128)</f>
        <v>21200000</v>
      </c>
      <c r="G134" s="326">
        <f>IF(OR(G19="A",G19="C"),G128-G133,G128)</f>
        <v>73809000</v>
      </c>
      <c r="H134" s="326">
        <f>IF(OR(H19="A",H19="C"),H128-H133,H128)</f>
        <v>78811525</v>
      </c>
      <c r="I134" s="326">
        <f>IF(OR(I19="A",I19="C"),I128-I133,I128)</f>
        <v>73530844</v>
      </c>
      <c r="J134" s="326">
        <f>IF(OR(J19="A",J19="C"),J128-J133,J128)</f>
        <v>45919000</v>
      </c>
      <c r="K134" s="326">
        <f>IF(OR(K19="A",K19="C"),K128-K133,K128)</f>
        <v>36973398</v>
      </c>
      <c r="L134" s="326">
        <f>IF(OR(L19="A",L19="C"),L128-L133,L128)</f>
        <v>14076070</v>
      </c>
      <c r="M134" s="326">
        <f>IF(OR(M19="A",M19="C"),M128-M133,M128)</f>
        <v>22211550</v>
      </c>
      <c r="N134" s="326">
        <f>MAX(IF(OR(N19="A",N19="C"),N128-N133,N128),0)</f>
        <v>0</v>
      </c>
      <c r="O134" s="326">
        <f>IF(OR(O19="A",O19="C"),O128-O133,O128)</f>
        <v>2045448</v>
      </c>
      <c r="P134" s="339">
        <f t="shared" si="23"/>
        <v>412404150</v>
      </c>
      <c r="V134" s="33"/>
      <c r="W134" s="45"/>
      <c r="X134" s="13"/>
      <c r="Y134" s="13"/>
      <c r="Z134" s="13"/>
      <c r="AA134" s="13"/>
      <c r="AB134" s="13"/>
      <c r="AC134" s="18"/>
      <c r="AE134" s="81"/>
    </row>
    <row r="135" spans="1:31">
      <c r="A135" s="436" t="s">
        <v>849</v>
      </c>
      <c r="B135" s="326">
        <f>MAX(B134-B22-B21,0)</f>
        <v>13503747</v>
      </c>
      <c r="C135" s="326">
        <f>MAX(C134-C22-C21,0)</f>
        <v>0</v>
      </c>
      <c r="D135" s="326">
        <f>MAX(D134-D22-D21,0)</f>
        <v>0</v>
      </c>
      <c r="E135" s="326">
        <f>MAX(E134-E22-E21,0)</f>
        <v>4930847</v>
      </c>
      <c r="F135" s="326">
        <f>MAX(F134-F22-F21,0)</f>
        <v>21200000</v>
      </c>
      <c r="G135" s="326">
        <f>MAX(G134-G22-G21,0)</f>
        <v>64809000</v>
      </c>
      <c r="H135" s="326">
        <f>MAX(H134-H22-H21,0)</f>
        <v>78811525</v>
      </c>
      <c r="I135" s="326">
        <f>MAX(I134-I22-I21,0)</f>
        <v>73530844</v>
      </c>
      <c r="J135" s="326">
        <f>MAX(J134-J22-J21,0)</f>
        <v>36919000</v>
      </c>
      <c r="K135" s="326">
        <f>MAX(K134-K22-K21,0)</f>
        <v>27973398</v>
      </c>
      <c r="L135" s="326">
        <f>MAX(L134-L22-L21,0)</f>
        <v>5076070</v>
      </c>
      <c r="M135" s="326">
        <f>MAX(M134-M22-M21,0)</f>
        <v>13211550</v>
      </c>
      <c r="N135" s="326">
        <f>MAX(N134-N22-N21,0)</f>
        <v>0</v>
      </c>
      <c r="O135" s="326">
        <f>MAX(O134-O22-O21,0)</f>
        <v>2045448</v>
      </c>
      <c r="P135" s="339">
        <f t="shared" si="23"/>
        <v>342011429</v>
      </c>
      <c r="V135" s="32"/>
      <c r="W135" s="44"/>
      <c r="X135" s="13"/>
      <c r="Y135" s="13"/>
      <c r="Z135" s="13"/>
      <c r="AA135" s="13"/>
      <c r="AB135" s="13"/>
      <c r="AC135" s="18"/>
      <c r="AE135" s="81"/>
    </row>
    <row r="136" spans="1:31">
      <c r="A136" s="436" t="s">
        <v>851</v>
      </c>
      <c r="B136" s="326">
        <f>IF(OR(B19="A",B19="C"),ROUND(MAX(B135*{5;10;15;20;25;30;35}%-{0;0.25;0.75;1.65;3.25;5.85;9.85}*1000000,0),0),IF(B19="B",IF(B135&lt;2000000,0,ROUND(B135*10%,0)),ROUND(B135*20%,0)))</f>
        <v>1275562</v>
      </c>
      <c r="C136" s="326">
        <f>IF(OR(C19="A",C19="C"),ROUND(MAX(C135*{5;10;15;20;25;30;35}%-{0;0.25;0.75;1.65;3.25;5.85;9.85}*1000000,0),0),IF(C19="B",IF(C135&lt;2000000,0,ROUND(C135*10%,0)),ROUND(C135*20%,0)))</f>
        <v>0</v>
      </c>
      <c r="D136" s="326"/>
      <c r="E136" s="326">
        <f>IF(OR(E19="A",E19="C"),ROUND(MAX(E135*{5;10;15;20;25;30;35}%-{0;0.25;0.75;1.65;3.25;5.85;9.85}*1000000,0),0),IF(E19="B",IF(E135&lt;2000000,0,ROUND(E135*10%,0)),ROUND(E135*20%,0)))</f>
        <v>493085</v>
      </c>
      <c r="F136" s="326">
        <f>IF(OR(F19="A",F19="C"),ROUND(MAX(F135*{5;10;15;20;25;30;35}%-{0;0.25;0.75;1.65;3.25;5.85;9.85}*1000000,0),0),IF(F19="B",IF(F135&lt;2000000,0,ROUND(F135*10%,0)),ROUND(F135*20%,0)))</f>
        <v>2120000</v>
      </c>
      <c r="G136" s="326">
        <f>IF(OR(G19="A",G19="C"),ROUND(MAX(G135*{5;10;15;20;25;30;35}%-{0;0.25;0.75;1.65;3.25;5.85;9.85}*1000000,0),0),IF(G19="B",IF(G135&lt;2000000,0,ROUND(G135*10%,0)),ROUND(G135*20%,0)))</f>
        <v>13592700</v>
      </c>
      <c r="H136" s="326">
        <f>IF(OR(H19="A",H19="C"),ROUND(MAX(H135*{5;10;15;20;25;30;35}%-{0;0.25;0.75;1.65;3.25;5.85;9.85}*1000000,0),0),IF(H19="B",IF(H135&lt;2000000,0,ROUND(H135*10%,0)),ROUND(H135*20%,0)))</f>
        <v>15762305</v>
      </c>
      <c r="I136" s="326">
        <f>IF(OR(I19="A",I19="C"),ROUND(MAX(I135*{5;10;15;20;25;30;35}%-{0;0.25;0.75;1.65;3.25;5.85;9.85}*1000000,0),0),IF(I19="B",IF(I135&lt;2000000,0,ROUND(I135*10%,0)),ROUND(I135*20%,0)))</f>
        <v>14706169</v>
      </c>
      <c r="J136" s="326">
        <f>IF(OR(J19="A",J19="C"),ROUND(MAX(J135*{5;10;15;20;25;30;35}%-{0;0.25;0.75;1.65;3.25;5.85;9.85}*1000000,0),0),IF(J19="B",IF(J135&lt;2000000,0,ROUND(J135*10%,0)),ROUND(J135*20%,0)))</f>
        <v>5979750</v>
      </c>
      <c r="K136" s="326">
        <f>IF(OR(K19="A",K19="C"),ROUND(MAX(K135*{5;10;15;20;25;30;35}%-{0;0.25;0.75;1.65;3.25;5.85;9.85}*1000000,0),0),IF(K19="B",IF(K135&lt;2000000,0,ROUND(K135*10%,0)),ROUND(K135*20%,0)))</f>
        <v>3944680</v>
      </c>
      <c r="L136" s="326">
        <f>IF(OR(L19="A",L19="C"),ROUND(MAX(L135*{5;10;15;20;25;30;35}%-{0;0.25;0.75;1.65;3.25;5.85;9.85}*1000000,0),0),IF(L19="B",IF(L135&lt;2000000,0,ROUND(L135*10%,0)),ROUND(L135*20%,0)))</f>
        <v>257607</v>
      </c>
      <c r="M136" s="326">
        <f>IF(OR(M19="A",M19="C"),ROUND(MAX(M135*{5;10;15;20;25;30;35}%-{0;0.25;0.75;1.65;3.25;5.85;9.85}*1000000,0),0),IF(M19="B",IF(M135&lt;2000000,0,ROUND(M135*10%,0)),ROUND(M135*20%,0)))</f>
        <v>1231733</v>
      </c>
      <c r="N136" s="326">
        <f>IF(OR(N19="A",N19="C"),ROUND(MAX(N135*{5;10;15;20;25;30;35}%-{0;0.25;0.75;1.65;3.25;5.85;9.85}*1000000,0),0),IF(N19="B",IF(N135&lt;2000000,0,ROUND(N135*10%,0)),ROUND(N135*20%,0)))</f>
        <v>0</v>
      </c>
      <c r="O136" s="326">
        <f>IF(OR(O19="A",O19="C"),ROUND(MAX(O135*{5;10;15;20;25;30;35}%-{0;0.25;0.75;1.65;3.25;5.85;9.85}*1000000,0),0),IF(O19="B",IF(O135&lt;2000000,0,ROUND(O135*10%,0)),ROUND(O135*20%,0)))</f>
        <v>204545</v>
      </c>
      <c r="P136" s="339">
        <f t="shared" si="23"/>
        <v>59568136</v>
      </c>
      <c r="AE136" s="81"/>
    </row>
    <row r="137" spans="1:31">
      <c r="A137" s="436" t="s">
        <v>866</v>
      </c>
      <c r="B137" s="326">
        <f>B128+'UAT8-Aug'!B103</f>
        <v>125091062</v>
      </c>
      <c r="C137" s="326">
        <f>C128+'UAT8-Aug'!C103</f>
        <v>96562003</v>
      </c>
      <c r="D137" s="326">
        <f>D128+'UAT8-Aug'!D103</f>
        <v>78771713</v>
      </c>
      <c r="E137" s="326">
        <f>E128+'UAT8-Aug'!E103</f>
        <v>181610861</v>
      </c>
      <c r="F137" s="326">
        <f>F128+'UAT8-Aug'!F103</f>
        <v>128800000</v>
      </c>
      <c r="G137" s="326">
        <f>G128+'UAT8-Aug'!G103</f>
        <v>596065825</v>
      </c>
      <c r="H137" s="326">
        <f>H128+'UAT8-Aug'!H103</f>
        <v>771853555</v>
      </c>
      <c r="I137" s="326">
        <f>I128+'UAT8-Aug'!I103</f>
        <v>722835268</v>
      </c>
      <c r="J137" s="326">
        <f>J128+'UAT8-Aug'!J103</f>
        <v>350373914</v>
      </c>
      <c r="K137" s="326">
        <f>K128+'UAT8-Aug'!K103</f>
        <v>138473398</v>
      </c>
      <c r="L137" s="326">
        <f>L128+'UAT8-Aug'!L103</f>
        <v>510651070</v>
      </c>
      <c r="M137" s="326">
        <f>M128+'UAT8-Aug'!M103</f>
        <v>104884640</v>
      </c>
      <c r="N137" s="326">
        <f>N128+'UAT8-Aug'!N103</f>
        <v>84866736</v>
      </c>
      <c r="O137" s="326">
        <f>O128+'UAT8-Aug'!O103</f>
        <v>36295448</v>
      </c>
      <c r="P137" s="339">
        <f t="shared" si="23"/>
        <v>3927135493</v>
      </c>
      <c r="AE137" s="81"/>
    </row>
    <row r="138" spans="1:31">
      <c r="A138" s="436" t="s">
        <v>486</v>
      </c>
      <c r="B138" s="326">
        <f>B136+'UAT8-Aug'!B104</f>
        <v>1938482</v>
      </c>
      <c r="C138" s="326">
        <f>C136+'UAT8-Aug'!C104</f>
        <v>0</v>
      </c>
      <c r="D138" s="326">
        <f>D136+'UAT8-Aug'!D104</f>
        <v>678837</v>
      </c>
      <c r="E138" s="326">
        <f>E136+'UAT8-Aug'!E104</f>
        <v>18161089</v>
      </c>
      <c r="F138" s="326">
        <f>F136+'UAT8-Aug'!F104</f>
        <v>12880000</v>
      </c>
      <c r="G138" s="326">
        <f>G136+'UAT8-Aug'!G104</f>
        <v>116374948</v>
      </c>
      <c r="H138" s="326">
        <f>H136+'UAT8-Aug'!H104</f>
        <v>154370712</v>
      </c>
      <c r="I138" s="326">
        <f>I136+'UAT8-Aug'!I104</f>
        <v>144567054</v>
      </c>
      <c r="J138" s="326">
        <f>J136+'UAT8-Aug'!J104</f>
        <v>36948889</v>
      </c>
      <c r="K138" s="326">
        <f>K136+'UAT8-Aug'!K104</f>
        <v>6119680</v>
      </c>
      <c r="L138" s="326">
        <f>L136+'UAT8-Aug'!L104</f>
        <v>88385107</v>
      </c>
      <c r="M138" s="326">
        <f>M136+'UAT8-Aug'!M104</f>
        <v>2711543</v>
      </c>
      <c r="N138" s="326">
        <f>N136+'UAT8-Aug'!N104</f>
        <v>1233981</v>
      </c>
      <c r="O138" s="326">
        <f>O136+'UAT8-Aug'!O104</f>
        <v>3629545</v>
      </c>
      <c r="P138" s="339">
        <f t="shared" si="23"/>
        <v>587999867</v>
      </c>
      <c r="AE138" s="81"/>
    </row>
    <row r="139" spans="1:31">
      <c r="A139" s="436" t="s">
        <v>487</v>
      </c>
      <c r="B139" s="326">
        <f>B133+'UAT8-Aug'!B105</f>
        <v>7381500</v>
      </c>
      <c r="C139" s="326">
        <f>C133+'UAT8-Aug'!C105</f>
        <v>7133805</v>
      </c>
      <c r="D139" s="326">
        <f>D133+'UAT8-Aug'!D105</f>
        <v>1312500</v>
      </c>
      <c r="E139" s="326">
        <f>E133+'UAT8-Aug'!E105</f>
        <v>8557500</v>
      </c>
      <c r="F139" s="326">
        <f>F133+'UAT8-Aug'!F105</f>
        <v>0</v>
      </c>
      <c r="G139" s="326">
        <f>G133+'UAT8-Aug'!G105</f>
        <v>2175000</v>
      </c>
      <c r="H139" s="326">
        <f>H133+'UAT8-Aug'!H105</f>
        <v>3843000</v>
      </c>
      <c r="I139" s="326">
        <f>I133+'UAT8-Aug'!I105</f>
        <v>3426000</v>
      </c>
      <c r="J139" s="326">
        <f>J133+'UAT8-Aug'!J105</f>
        <v>25016000</v>
      </c>
      <c r="K139" s="326">
        <f>K133+'UAT8-Aug'!K105</f>
        <v>0</v>
      </c>
      <c r="L139" s="326">
        <f>L133+'UAT8-Aug'!L105</f>
        <v>22950000</v>
      </c>
      <c r="M139" s="326">
        <f>M133+'UAT8-Aug'!M105</f>
        <v>0</v>
      </c>
      <c r="N139" s="326">
        <f>N133+'UAT8-Aug'!N105</f>
        <v>0</v>
      </c>
      <c r="O139" s="326">
        <f>O133+'UAT8-Aug'!O105</f>
        <v>0</v>
      </c>
      <c r="P139" s="339">
        <f t="shared" si="23"/>
        <v>81795305</v>
      </c>
    </row>
    <row r="140" spans="1:31">
      <c r="A140" s="405"/>
      <c r="B140" s="14"/>
      <c r="C140" s="7"/>
      <c r="D140" s="7"/>
      <c r="E140" s="316"/>
      <c r="F140" s="7"/>
      <c r="G140" s="7"/>
      <c r="H140" s="7"/>
      <c r="I140" s="7"/>
      <c r="J140" s="7"/>
      <c r="K140" s="316"/>
      <c r="L140" s="316"/>
      <c r="M140" s="316"/>
      <c r="N140" s="316"/>
      <c r="O140" s="316"/>
      <c r="P140" s="339"/>
    </row>
    <row r="141" spans="1:31">
      <c r="A141" s="452" t="s">
        <v>762</v>
      </c>
      <c r="B141" s="435">
        <f>B109</f>
        <v>88</v>
      </c>
      <c r="C141" s="435">
        <f>C109</f>
        <v>0</v>
      </c>
      <c r="D141" s="435">
        <f>D109</f>
        <v>0</v>
      </c>
      <c r="E141" s="435">
        <f>E109</f>
        <v>0</v>
      </c>
      <c r="F141" s="435">
        <f>F109</f>
        <v>0</v>
      </c>
      <c r="G141" s="435">
        <f>G109</f>
        <v>0</v>
      </c>
      <c r="H141" s="435">
        <f>H109</f>
        <v>0</v>
      </c>
      <c r="I141" s="435">
        <f>I109</f>
        <v>0</v>
      </c>
      <c r="J141" s="435">
        <f>J109</f>
        <v>0</v>
      </c>
      <c r="K141" s="435">
        <f>K109</f>
        <v>0</v>
      </c>
      <c r="L141" s="435">
        <f>L109</f>
        <v>0</v>
      </c>
      <c r="M141" s="435">
        <f>M109</f>
        <v>0</v>
      </c>
      <c r="N141" s="435">
        <f>N109</f>
        <v>0</v>
      </c>
      <c r="O141" s="435">
        <f>O109</f>
        <v>0</v>
      </c>
      <c r="P141" s="710">
        <f t="shared" si="23"/>
        <v>88</v>
      </c>
    </row>
    <row r="142" spans="1:31">
      <c r="A142" s="452" t="s">
        <v>758</v>
      </c>
      <c r="B142" s="435">
        <f>B111</f>
        <v>0</v>
      </c>
      <c r="C142" s="435">
        <f>C111</f>
        <v>0</v>
      </c>
      <c r="D142" s="435">
        <f>D111</f>
        <v>0</v>
      </c>
      <c r="E142" s="435">
        <f>E111</f>
        <v>0</v>
      </c>
      <c r="F142" s="435">
        <f>F111</f>
        <v>0</v>
      </c>
      <c r="G142" s="435">
        <f>G111</f>
        <v>0</v>
      </c>
      <c r="H142" s="435">
        <f>H111</f>
        <v>0</v>
      </c>
      <c r="I142" s="435">
        <f>I111</f>
        <v>0</v>
      </c>
      <c r="J142" s="435">
        <f>J111</f>
        <v>0</v>
      </c>
      <c r="K142" s="435">
        <f>K111</f>
        <v>0</v>
      </c>
      <c r="L142" s="435">
        <f>L111</f>
        <v>48</v>
      </c>
      <c r="M142" s="435">
        <f>M111</f>
        <v>0</v>
      </c>
      <c r="N142" s="435">
        <f>N111</f>
        <v>0</v>
      </c>
      <c r="O142" s="435">
        <f>O111</f>
        <v>0</v>
      </c>
      <c r="P142" s="710">
        <f t="shared" si="23"/>
        <v>48</v>
      </c>
    </row>
    <row r="143" spans="1:31">
      <c r="A143" s="452" t="s">
        <v>755</v>
      </c>
      <c r="B143" s="435">
        <f>B105</f>
        <v>0</v>
      </c>
      <c r="C143" s="435">
        <f>C105</f>
        <v>0</v>
      </c>
      <c r="D143" s="435">
        <f>D105</f>
        <v>0</v>
      </c>
      <c r="E143" s="435">
        <f>E105</f>
        <v>0</v>
      </c>
      <c r="F143" s="435">
        <f>F105</f>
        <v>0</v>
      </c>
      <c r="G143" s="435">
        <f>G105</f>
        <v>0</v>
      </c>
      <c r="H143" s="435">
        <f>H105</f>
        <v>0</v>
      </c>
      <c r="I143" s="435">
        <f>I105</f>
        <v>0</v>
      </c>
      <c r="J143" s="435">
        <f>J105</f>
        <v>0</v>
      </c>
      <c r="K143" s="435">
        <f>K105</f>
        <v>0</v>
      </c>
      <c r="L143" s="435">
        <f>L105</f>
        <v>40</v>
      </c>
      <c r="M143" s="435">
        <f>M105</f>
        <v>0</v>
      </c>
      <c r="N143" s="435">
        <f>N105</f>
        <v>0</v>
      </c>
      <c r="O143" s="435">
        <f>O105</f>
        <v>0</v>
      </c>
      <c r="P143" s="710">
        <f t="shared" si="23"/>
        <v>40</v>
      </c>
    </row>
    <row r="144" spans="1:31">
      <c r="A144" s="452" t="s">
        <v>763</v>
      </c>
      <c r="B144" s="435">
        <f>B110</f>
        <v>0</v>
      </c>
      <c r="C144" s="435">
        <f>C110</f>
        <v>0</v>
      </c>
      <c r="D144" s="435">
        <f>D110</f>
        <v>0</v>
      </c>
      <c r="E144" s="435">
        <f>E110</f>
        <v>0</v>
      </c>
      <c r="F144" s="435">
        <f>F110</f>
        <v>0</v>
      </c>
      <c r="G144" s="435">
        <f>G110</f>
        <v>0</v>
      </c>
      <c r="H144" s="435">
        <f>H110</f>
        <v>0</v>
      </c>
      <c r="I144" s="435">
        <f>I110</f>
        <v>0</v>
      </c>
      <c r="J144" s="435">
        <f>J110</f>
        <v>0</v>
      </c>
      <c r="K144" s="435">
        <f>K110</f>
        <v>8</v>
      </c>
      <c r="L144" s="435">
        <f>L110</f>
        <v>0</v>
      </c>
      <c r="M144" s="435">
        <f>M110</f>
        <v>0</v>
      </c>
      <c r="N144" s="435">
        <f>N110</f>
        <v>0</v>
      </c>
      <c r="O144" s="435">
        <f>O110</f>
        <v>0</v>
      </c>
      <c r="P144" s="710">
        <f t="shared" si="23"/>
        <v>8</v>
      </c>
      <c r="V144" s="154"/>
    </row>
    <row r="145" spans="1:29">
      <c r="A145" s="452" t="s">
        <v>764</v>
      </c>
      <c r="B145" s="435">
        <f>B112</f>
        <v>0</v>
      </c>
      <c r="C145" s="435">
        <f>C112</f>
        <v>0</v>
      </c>
      <c r="D145" s="435">
        <f>D112</f>
        <v>0</v>
      </c>
      <c r="E145" s="435">
        <f>E112</f>
        <v>0</v>
      </c>
      <c r="F145" s="435">
        <f>F112</f>
        <v>0</v>
      </c>
      <c r="G145" s="435">
        <f>G112</f>
        <v>0</v>
      </c>
      <c r="H145" s="435">
        <f>H112</f>
        <v>0</v>
      </c>
      <c r="I145" s="435">
        <f>I112</f>
        <v>0</v>
      </c>
      <c r="J145" s="435">
        <f>J112</f>
        <v>0</v>
      </c>
      <c r="K145" s="435">
        <f>K112</f>
        <v>0</v>
      </c>
      <c r="L145" s="435">
        <f>L112</f>
        <v>0</v>
      </c>
      <c r="M145" s="435">
        <f>M112</f>
        <v>0</v>
      </c>
      <c r="N145" s="435">
        <f>N112</f>
        <v>72</v>
      </c>
      <c r="O145" s="435">
        <f>O112</f>
        <v>0</v>
      </c>
      <c r="P145" s="710">
        <f t="shared" si="23"/>
        <v>72</v>
      </c>
    </row>
    <row r="146" spans="1:29">
      <c r="A146" s="452" t="s">
        <v>766</v>
      </c>
      <c r="B146" s="435">
        <f>B104</f>
        <v>0</v>
      </c>
      <c r="C146" s="435">
        <f>C104</f>
        <v>0</v>
      </c>
      <c r="D146" s="435">
        <f>D104</f>
        <v>0</v>
      </c>
      <c r="E146" s="435">
        <f>E104</f>
        <v>0</v>
      </c>
      <c r="F146" s="435">
        <f>F104</f>
        <v>0</v>
      </c>
      <c r="G146" s="435">
        <f>G104</f>
        <v>0</v>
      </c>
      <c r="H146" s="435">
        <f>H104</f>
        <v>0</v>
      </c>
      <c r="I146" s="435">
        <f>I104</f>
        <v>0</v>
      </c>
      <c r="J146" s="435">
        <f>J104</f>
        <v>0</v>
      </c>
      <c r="K146" s="435">
        <f>K104</f>
        <v>0</v>
      </c>
      <c r="L146" s="435">
        <f>L104</f>
        <v>0</v>
      </c>
      <c r="M146" s="435">
        <f>M104</f>
        <v>0</v>
      </c>
      <c r="N146" s="435">
        <f>N104</f>
        <v>96</v>
      </c>
      <c r="O146" s="435">
        <f>O104</f>
        <v>0</v>
      </c>
      <c r="P146" s="710">
        <f t="shared" si="23"/>
        <v>96</v>
      </c>
      <c r="W146" s="154"/>
      <c r="X146" s="154"/>
      <c r="Y146" s="154"/>
      <c r="Z146" s="154"/>
      <c r="AA146" s="154"/>
      <c r="AB146" s="154"/>
      <c r="AC146" s="154"/>
    </row>
    <row r="147" spans="1:29">
      <c r="A147" s="488" t="s">
        <v>765</v>
      </c>
      <c r="B147" s="435">
        <f>B102</f>
        <v>40</v>
      </c>
      <c r="C147" s="435">
        <f>C102</f>
        <v>21.6</v>
      </c>
      <c r="D147" s="435">
        <f>D102</f>
        <v>0</v>
      </c>
      <c r="E147" s="435">
        <f>E102</f>
        <v>0</v>
      </c>
      <c r="F147" s="435">
        <f>F102</f>
        <v>0</v>
      </c>
      <c r="G147" s="435">
        <f>G102</f>
        <v>0</v>
      </c>
      <c r="H147" s="435">
        <f>H102</f>
        <v>20</v>
      </c>
      <c r="I147" s="435">
        <f>I102</f>
        <v>0</v>
      </c>
      <c r="J147" s="435">
        <f>J102</f>
        <v>0</v>
      </c>
      <c r="K147" s="435">
        <f>K102</f>
        <v>8</v>
      </c>
      <c r="L147" s="435">
        <f>L102</f>
        <v>0</v>
      </c>
      <c r="M147" s="435">
        <f>M102</f>
        <v>0</v>
      </c>
      <c r="N147" s="435">
        <f>N102</f>
        <v>0</v>
      </c>
      <c r="O147" s="435">
        <f>O102</f>
        <v>0</v>
      </c>
      <c r="P147" s="710">
        <f t="shared" si="23"/>
        <v>89.6</v>
      </c>
    </row>
    <row r="148" spans="1:29">
      <c r="A148" s="452" t="s">
        <v>767</v>
      </c>
      <c r="B148" s="435">
        <f>B103</f>
        <v>0</v>
      </c>
      <c r="C148" s="435">
        <f>C103</f>
        <v>0</v>
      </c>
      <c r="D148" s="435">
        <f>D103</f>
        <v>0</v>
      </c>
      <c r="E148" s="435">
        <f>E103</f>
        <v>0</v>
      </c>
      <c r="F148" s="435">
        <f>F103</f>
        <v>0</v>
      </c>
      <c r="G148" s="435">
        <f>G103</f>
        <v>0</v>
      </c>
      <c r="H148" s="435">
        <f>H103</f>
        <v>0</v>
      </c>
      <c r="I148" s="435">
        <f>I103</f>
        <v>0</v>
      </c>
      <c r="J148" s="435">
        <f>J103</f>
        <v>0</v>
      </c>
      <c r="K148" s="435">
        <f>K103</f>
        <v>0</v>
      </c>
      <c r="L148" s="435">
        <f>L103</f>
        <v>0</v>
      </c>
      <c r="M148" s="435">
        <f>M103</f>
        <v>0</v>
      </c>
      <c r="N148" s="435">
        <f>N103</f>
        <v>0</v>
      </c>
      <c r="O148" s="435">
        <f>O103</f>
        <v>72</v>
      </c>
      <c r="P148" s="710">
        <f t="shared" si="23"/>
        <v>72</v>
      </c>
    </row>
    <row r="149" spans="1:29">
      <c r="A149" s="452" t="s">
        <v>756</v>
      </c>
      <c r="B149" s="435">
        <f>B106</f>
        <v>0</v>
      </c>
      <c r="C149" s="435">
        <f>C106</f>
        <v>0</v>
      </c>
      <c r="D149" s="435">
        <f>D106</f>
        <v>0</v>
      </c>
      <c r="E149" s="435">
        <f>E106</f>
        <v>120</v>
      </c>
      <c r="F149" s="435">
        <f>F106</f>
        <v>0</v>
      </c>
      <c r="G149" s="435">
        <f>G106</f>
        <v>0</v>
      </c>
      <c r="H149" s="435">
        <f>H106</f>
        <v>0</v>
      </c>
      <c r="I149" s="435">
        <f>I106</f>
        <v>0</v>
      </c>
      <c r="J149" s="435">
        <f>J106</f>
        <v>0</v>
      </c>
      <c r="K149" s="435">
        <f>K106</f>
        <v>0</v>
      </c>
      <c r="L149" s="435">
        <f>L106</f>
        <v>0</v>
      </c>
      <c r="M149" s="435">
        <f>M106</f>
        <v>0</v>
      </c>
      <c r="N149" s="435">
        <f>N106</f>
        <v>0</v>
      </c>
      <c r="O149" s="435">
        <f>O106</f>
        <v>0</v>
      </c>
      <c r="P149" s="710">
        <f t="shared" si="23"/>
        <v>120</v>
      </c>
    </row>
    <row r="150" spans="1:29">
      <c r="A150" s="452" t="s">
        <v>757</v>
      </c>
      <c r="B150" s="435">
        <f>B107</f>
        <v>0</v>
      </c>
      <c r="C150" s="435">
        <f>C107</f>
        <v>0</v>
      </c>
      <c r="D150" s="435">
        <f>D107</f>
        <v>0</v>
      </c>
      <c r="E150" s="435">
        <f>E107</f>
        <v>0</v>
      </c>
      <c r="F150" s="435">
        <f>F107</f>
        <v>0</v>
      </c>
      <c r="G150" s="435">
        <f>G107</f>
        <v>0</v>
      </c>
      <c r="H150" s="435">
        <f>H107</f>
        <v>0</v>
      </c>
      <c r="I150" s="435">
        <f>I107</f>
        <v>0</v>
      </c>
      <c r="J150" s="435">
        <f>J107</f>
        <v>0</v>
      </c>
      <c r="K150" s="435">
        <f>K107</f>
        <v>48</v>
      </c>
      <c r="L150" s="435">
        <f>L107</f>
        <v>0</v>
      </c>
      <c r="M150" s="435">
        <f>M107</f>
        <v>0</v>
      </c>
      <c r="N150" s="435">
        <f>N107</f>
        <v>0</v>
      </c>
      <c r="O150" s="435">
        <f>O107</f>
        <v>0</v>
      </c>
      <c r="P150" s="710">
        <f t="shared" si="23"/>
        <v>48</v>
      </c>
    </row>
    <row r="151" spans="1:29">
      <c r="A151" s="452" t="s">
        <v>768</v>
      </c>
      <c r="B151" s="435">
        <f>B108</f>
        <v>0</v>
      </c>
      <c r="C151" s="435">
        <f>C108</f>
        <v>4</v>
      </c>
      <c r="D151" s="435">
        <f>D108</f>
        <v>0</v>
      </c>
      <c r="E151" s="435">
        <f>E108</f>
        <v>0</v>
      </c>
      <c r="F151" s="435">
        <f>F108</f>
        <v>0</v>
      </c>
      <c r="G151" s="435">
        <f>G108</f>
        <v>0</v>
      </c>
      <c r="H151" s="435">
        <f>H108</f>
        <v>0</v>
      </c>
      <c r="I151" s="435">
        <f>I108</f>
        <v>0</v>
      </c>
      <c r="J151" s="435">
        <f>J108</f>
        <v>0</v>
      </c>
      <c r="K151" s="435">
        <f>K108</f>
        <v>0</v>
      </c>
      <c r="L151" s="435">
        <f>L108</f>
        <v>0</v>
      </c>
      <c r="M151" s="435">
        <f>M108</f>
        <v>0</v>
      </c>
      <c r="N151" s="435">
        <f>N108</f>
        <v>0</v>
      </c>
      <c r="O151" s="435">
        <f>O108</f>
        <v>0</v>
      </c>
      <c r="P151" s="710">
        <f t="shared" si="23"/>
        <v>4</v>
      </c>
    </row>
    <row r="152" spans="1:29">
      <c r="A152" s="514"/>
      <c r="B152" s="540"/>
      <c r="C152" s="540"/>
      <c r="D152" s="540"/>
      <c r="E152" s="540"/>
      <c r="F152" s="540"/>
      <c r="G152" s="540"/>
      <c r="H152" s="540"/>
      <c r="I152" s="540"/>
      <c r="J152" s="540"/>
      <c r="K152" s="540"/>
      <c r="L152" s="540"/>
      <c r="M152" s="540"/>
      <c r="N152" s="540"/>
      <c r="O152" s="540"/>
      <c r="P152" s="707"/>
    </row>
    <row r="153" spans="1:29">
      <c r="A153" s="452" t="s">
        <v>791</v>
      </c>
      <c r="B153" s="431">
        <f>ROUND(('UAT8-Aug'!B83+'UAT8-Aug'!B86)*B149,0)</f>
        <v>0</v>
      </c>
      <c r="C153" s="431">
        <f>ROUND(('UAT8-Aug'!C83+'UAT8-Aug'!C86)*C149,0)</f>
        <v>0</v>
      </c>
      <c r="D153" s="431">
        <f>ROUND(('UAT8-Aug'!D83+'UAT8-Aug'!D86)*D149,0)</f>
        <v>0</v>
      </c>
      <c r="E153" s="431">
        <f>ROUND(('UAT8-Aug'!E83+'UAT8-Aug'!E86)*E149,0)</f>
        <v>9702240</v>
      </c>
      <c r="F153" s="431">
        <f>ROUND(('UAT8-Aug'!F83+'UAT8-Aug'!F86)*F149,0)</f>
        <v>0</v>
      </c>
      <c r="G153" s="431">
        <f>ROUND(('UAT8-Aug'!G83+'UAT8-Aug'!G86)*G149,0)</f>
        <v>0</v>
      </c>
      <c r="H153" s="431">
        <f>ROUND(('UAT8-Aug'!H83+'UAT8-Aug'!H86)*H149,0)</f>
        <v>0</v>
      </c>
      <c r="I153" s="431">
        <f>ROUND(('UAT8-Aug'!I83+'UAT8-Aug'!I86)*I149,0)</f>
        <v>0</v>
      </c>
      <c r="J153" s="431">
        <f>ROUND(('UAT8-Aug'!J83+'UAT8-Aug'!J86)*J149,0)</f>
        <v>0</v>
      </c>
      <c r="K153" s="431">
        <f>ROUND(('UAT8-Aug'!K83+'UAT8-Aug'!K86)*K149,0)</f>
        <v>0</v>
      </c>
      <c r="L153" s="431">
        <f>ROUND(('UAT8-Aug'!L83+'UAT8-Aug'!L86)*L149,0)</f>
        <v>0</v>
      </c>
      <c r="M153" s="431">
        <f>ROUND(('UAT8-Aug'!M83+'UAT8-Aug'!M86)*M149,0)</f>
        <v>0</v>
      </c>
      <c r="N153" s="431">
        <f>ROUND(('UAT8-Aug'!N83+'UAT8-Aug'!N86)*N149,0)</f>
        <v>0</v>
      </c>
      <c r="O153" s="431">
        <f>ROUND(('UAT8-Aug'!O83+'UAT8-Aug'!O86)*O149,0)</f>
        <v>0</v>
      </c>
      <c r="P153" s="710">
        <f t="shared" si="23"/>
        <v>9702240</v>
      </c>
    </row>
    <row r="154" spans="1:29">
      <c r="A154" s="452" t="s">
        <v>792</v>
      </c>
      <c r="B154" s="431">
        <f>ROUND(('UAT8-Aug'!B83+'UAT8-Aug'!B86)*(B150+B151+B152),0)</f>
        <v>0</v>
      </c>
      <c r="C154" s="431">
        <f>ROUND(('UAT8-Aug'!C83+'UAT8-Aug'!C86)*(C150+C151+C152),0)</f>
        <v>214316</v>
      </c>
      <c r="D154" s="431">
        <f>ROUND(('UAT8-Aug'!D83+'UAT8-Aug'!D86)*(D150+D151+D142),0)</f>
        <v>0</v>
      </c>
      <c r="E154" s="431">
        <f>ROUND(('UAT8-Aug'!E83+'UAT8-Aug'!E86)*(E150+E151+E142),0)</f>
        <v>0</v>
      </c>
      <c r="F154" s="431">
        <f>ROUND(('UAT8-Aug'!F83+'UAT8-Aug'!F86)*(F150+F151+F142),0)</f>
        <v>0</v>
      </c>
      <c r="G154" s="431">
        <f>ROUND(('UAT8-Aug'!G83+'UAT8-Aug'!G86)*(G150+G151+G142),0)</f>
        <v>0</v>
      </c>
      <c r="H154" s="431">
        <f>ROUND(('UAT8-Aug'!H83+'UAT8-Aug'!H86)*(H150+H151+H142),0)</f>
        <v>0</v>
      </c>
      <c r="I154" s="431">
        <f>ROUND(('UAT8-Aug'!I83+'UAT8-Aug'!I86)*(I150+I151+I142),0)</f>
        <v>0</v>
      </c>
      <c r="J154" s="431">
        <f>ROUND(('UAT8-Aug'!J83+'UAT8-Aug'!J86)*(J150+J151+J142),0)</f>
        <v>0</v>
      </c>
      <c r="K154" s="431">
        <f>ROUND(('UAT8-Aug'!K83+'UAT8-Aug'!K86)*(K150+K151+K142),0)</f>
        <v>3608160</v>
      </c>
      <c r="L154" s="431">
        <f>ROUND(('UAT8-Aug'!L83+'UAT8-Aug'!L86)*(L150+L151+L142),0)</f>
        <v>4017264</v>
      </c>
      <c r="M154" s="431">
        <f>ROUND(('UAT8-Aug'!M83+'UAT8-Aug'!M86)*(M150+M151+M142),0)</f>
        <v>0</v>
      </c>
      <c r="N154" s="431">
        <f>ROUND(('UAT8-Aug'!N83+'UAT8-Aug'!N86)*(N150+N151+N142),0)</f>
        <v>0</v>
      </c>
      <c r="O154" s="431">
        <f>ROUND(('UAT8-Aug'!O83+'UAT8-Aug'!O86)*(O150+O151+O142),0)</f>
        <v>0</v>
      </c>
      <c r="P154" s="710">
        <f t="shared" si="23"/>
        <v>7839740</v>
      </c>
    </row>
    <row r="155" spans="1:29">
      <c r="A155" s="436"/>
      <c r="B155" s="326"/>
      <c r="C155" s="326"/>
      <c r="D155" s="326"/>
      <c r="E155" s="326"/>
      <c r="F155" s="326"/>
      <c r="G155" s="326"/>
      <c r="H155" s="326"/>
      <c r="I155" s="326"/>
      <c r="J155" s="326"/>
      <c r="K155" s="326"/>
      <c r="L155" s="326"/>
      <c r="M155" s="326"/>
      <c r="N155" s="326"/>
      <c r="O155" s="326"/>
      <c r="P155" s="589"/>
    </row>
    <row r="156" spans="1:29" ht="15.6">
      <c r="A156" s="404" t="s">
        <v>775</v>
      </c>
      <c r="B156" s="14"/>
      <c r="C156" s="7"/>
      <c r="D156" s="7"/>
      <c r="E156" s="316"/>
      <c r="F156" s="7"/>
      <c r="G156" s="7"/>
      <c r="H156" s="7"/>
      <c r="I156" s="7"/>
      <c r="J156" s="7"/>
      <c r="K156" s="316"/>
      <c r="L156" s="316"/>
      <c r="M156" s="316"/>
      <c r="N156" s="316"/>
      <c r="O156" s="316"/>
      <c r="P156" s="589"/>
    </row>
    <row r="157" spans="1:29">
      <c r="A157" s="436" t="s">
        <v>431</v>
      </c>
      <c r="B157" s="531">
        <f>ROUND(160*B13*(365-B181)/365,2)-B92</f>
        <v>149.81</v>
      </c>
      <c r="C157" s="531">
        <f>ROUND(160*C13*(365-C181)/365,2)-C92</f>
        <v>138.41999999999999</v>
      </c>
      <c r="D157" s="531"/>
      <c r="E157" s="531">
        <f>ROUND(160*E13*(365-E181)/365,2)-E92</f>
        <v>160</v>
      </c>
      <c r="F157" s="531">
        <f>ROUND(160*F13*(365-F181)/365,2)-F92</f>
        <v>128</v>
      </c>
      <c r="G157" s="531">
        <f>ROUND(160*G13*(233-G181)/365,2)-G92</f>
        <v>102.14</v>
      </c>
      <c r="H157" s="531">
        <f>ROUND(160*H13*(365-H181)/365,2)-H92</f>
        <v>78.900000000000006</v>
      </c>
      <c r="I157" s="531"/>
      <c r="J157" s="531">
        <f>ROUND(160*J13*(337-J181)/365,2)-J92</f>
        <v>87.58</v>
      </c>
      <c r="K157" s="531">
        <f>ROUND(160*K13*(365-K181)/365,2)-K92</f>
        <v>159.56</v>
      </c>
      <c r="L157" s="531">
        <f>ROUND(160*L13*(365-L181)/365,2)-L92</f>
        <v>160</v>
      </c>
      <c r="M157" s="531">
        <f>ROUND(160*M13*(365-M181)/365,2)-M92</f>
        <v>160</v>
      </c>
      <c r="N157" s="531">
        <f>ROUND(160*N13*(365-N181)/365,2)-N92</f>
        <v>152.11000000000001</v>
      </c>
      <c r="O157" s="531">
        <f>ROUND(160/365*(31+16),2)+ROUND(160*75%/365*(14+31+31+30+31+30+31-O181),2)-O92</f>
        <v>79.78</v>
      </c>
      <c r="P157" s="553">
        <f t="shared" si="23"/>
        <v>1556.3</v>
      </c>
    </row>
    <row r="158" spans="1:29">
      <c r="A158" s="436" t="s">
        <v>432</v>
      </c>
      <c r="B158" s="531">
        <f>ROUND(80*B13*(365-B181)/365,2)-B93</f>
        <v>78.900000000000006</v>
      </c>
      <c r="C158" s="531">
        <f>ROUND(80*C13*(365-C181)/365,2)-C93</f>
        <v>-29.590000000000003</v>
      </c>
      <c r="D158" s="531"/>
      <c r="E158" s="531">
        <f>ROUND(80*E13*(365-E181)/365,2)-E93</f>
        <v>80</v>
      </c>
      <c r="F158" s="531">
        <f>ROUND(80*F13*(365-F181)/365,2)-F93</f>
        <v>64</v>
      </c>
      <c r="G158" s="531">
        <f>ROUND(80*G13*(233-G181)/365,2)-G93</f>
        <v>51.07</v>
      </c>
      <c r="H158" s="531">
        <f>ROUND(80*H13*(365-H181)/365,2)-H93</f>
        <v>39.450000000000003</v>
      </c>
      <c r="I158" s="531"/>
      <c r="J158" s="531">
        <f>ROUND(80*J13*(337-J181)/365,2)-J93</f>
        <v>43.79</v>
      </c>
      <c r="K158" s="531">
        <f>ROUND(80*K13*(365-K181)/365,2)-K93</f>
        <v>79.78</v>
      </c>
      <c r="L158" s="531">
        <f>ROUND(80*L13*(365-L181)/365,2)-L93</f>
        <v>80</v>
      </c>
      <c r="M158" s="531">
        <f>ROUND(80*M13*(365-M181)/365,2)-M93</f>
        <v>80</v>
      </c>
      <c r="N158" s="531">
        <f>ROUND(80*N13*(365-N181)/365,2)-N93</f>
        <v>76.05</v>
      </c>
      <c r="O158" s="531">
        <f>ROUND(80/365*(31+16),2)+ROUND(80*75%/365*(14+31+31+30+31+30+31-O181),2)-O92</f>
        <v>39.89</v>
      </c>
      <c r="P158" s="553">
        <f t="shared" si="23"/>
        <v>683.33999999999992</v>
      </c>
    </row>
    <row r="159" spans="1:29">
      <c r="A159" s="436" t="s">
        <v>1437</v>
      </c>
      <c r="B159" s="531">
        <v>0</v>
      </c>
      <c r="C159" s="531">
        <f>AC127-C94</f>
        <v>154.80000000000001</v>
      </c>
      <c r="D159" s="531"/>
      <c r="E159" s="531">
        <v>0</v>
      </c>
      <c r="F159" s="531">
        <f>ROUND(ROUND(160/3650,6)*243,2)+AC128-F94</f>
        <v>160</v>
      </c>
      <c r="G159" s="531">
        <v>0</v>
      </c>
      <c r="H159" s="531">
        <v>0</v>
      </c>
      <c r="I159" s="531"/>
      <c r="J159" s="531">
        <v>0</v>
      </c>
      <c r="K159" s="531">
        <v>0</v>
      </c>
      <c r="L159" s="531">
        <v>0</v>
      </c>
      <c r="M159" s="531">
        <v>0</v>
      </c>
      <c r="N159" s="531">
        <v>0</v>
      </c>
      <c r="O159" s="531">
        <v>0</v>
      </c>
      <c r="P159" s="553">
        <f t="shared" si="23"/>
        <v>314.8</v>
      </c>
    </row>
    <row r="160" spans="1:29">
      <c r="A160" s="436" t="s">
        <v>1438</v>
      </c>
      <c r="B160" s="531">
        <f>AC129+ROUND((243-B181)*B13*40/1826,2)</f>
        <v>39.480000000000004</v>
      </c>
      <c r="C160" s="531">
        <v>0</v>
      </c>
      <c r="D160" s="531"/>
      <c r="E160" s="531">
        <v>0</v>
      </c>
      <c r="F160" s="531">
        <v>0</v>
      </c>
      <c r="G160" s="531">
        <v>0</v>
      </c>
      <c r="H160" s="531">
        <f>AC130+ROUND((243-H181)*H13*40/1826,2)</f>
        <v>19.939999999999998</v>
      </c>
      <c r="I160" s="531"/>
      <c r="J160" s="531">
        <v>0</v>
      </c>
      <c r="K160" s="531">
        <f>AC131+ROUND((257-K181)*K13*40/1826,2)</f>
        <v>39.99</v>
      </c>
      <c r="L160" s="531">
        <f>AC132++ROUND((256-L181)*L13*40/1826,2)</f>
        <v>36.01</v>
      </c>
      <c r="M160" s="531">
        <v>0</v>
      </c>
      <c r="N160" s="531">
        <v>0</v>
      </c>
      <c r="O160" s="531">
        <v>0</v>
      </c>
      <c r="P160" s="553">
        <f t="shared" si="23"/>
        <v>135.41999999999999</v>
      </c>
    </row>
    <row r="161" spans="1:16">
      <c r="A161" s="436" t="s">
        <v>435</v>
      </c>
      <c r="B161" s="531">
        <f>'UAT8-Aug'!B112-B95</f>
        <v>11.379999999999999</v>
      </c>
      <c r="C161" s="531">
        <f>'UAT8-Aug'!C112-C95*8*C13</f>
        <v>0</v>
      </c>
      <c r="D161" s="531"/>
      <c r="E161" s="531">
        <f>'UAT8-Aug'!E112-E95*8*E13</f>
        <v>0</v>
      </c>
      <c r="F161" s="531">
        <f>'UAT8-Aug'!F112-F95*8*F13</f>
        <v>0</v>
      </c>
      <c r="G161" s="531">
        <f>'UAT8-Aug'!G112-G95*8*G13</f>
        <v>0</v>
      </c>
      <c r="H161" s="531">
        <f>'UAT8-Aug'!H112-H95*8*H13</f>
        <v>0</v>
      </c>
      <c r="I161" s="531"/>
      <c r="J161" s="712">
        <v>0</v>
      </c>
      <c r="K161" s="531">
        <f>'UAT8-Aug'!K112-K95*8*K13</f>
        <v>0</v>
      </c>
      <c r="L161" s="531">
        <f>'UAT8-Aug'!L112-L95*8*L13</f>
        <v>0</v>
      </c>
      <c r="M161" s="531">
        <f>'UAT8-Aug'!M112-M95*8*M13</f>
        <v>0</v>
      </c>
      <c r="N161" s="531">
        <f>'UAT8-Aug'!N112-N95*8*N13</f>
        <v>0</v>
      </c>
      <c r="O161" s="531">
        <f>'UAT8-Aug'!O112-O95*8*O13</f>
        <v>0</v>
      </c>
      <c r="P161" s="553">
        <f t="shared" si="23"/>
        <v>11.379999999999999</v>
      </c>
    </row>
    <row r="162" spans="1:16">
      <c r="A162" s="436"/>
      <c r="B162" s="526"/>
      <c r="C162" s="526"/>
      <c r="D162" s="526"/>
      <c r="E162" s="526"/>
      <c r="F162" s="526"/>
      <c r="G162" s="526"/>
      <c r="H162" s="526"/>
      <c r="I162" s="526"/>
      <c r="J162" s="526"/>
      <c r="K162" s="526"/>
      <c r="L162" s="526"/>
      <c r="M162" s="526"/>
      <c r="N162" s="526"/>
      <c r="O162" s="526"/>
      <c r="P162" s="560"/>
    </row>
    <row r="163" spans="1:16" ht="15.6">
      <c r="A163" s="404" t="s">
        <v>622</v>
      </c>
      <c r="P163" s="560"/>
    </row>
    <row r="164" spans="1:16">
      <c r="A164" s="514" t="s">
        <v>477</v>
      </c>
      <c r="B164" s="515">
        <f>'UAT8-Aug'!B121</f>
        <v>7000000</v>
      </c>
      <c r="C164" s="515">
        <f>'UAT8-Aug'!C121</f>
        <v>6200000</v>
      </c>
      <c r="D164" s="515">
        <f>'UAT8-Aug'!D121</f>
        <v>0</v>
      </c>
      <c r="E164" s="515">
        <f>'UAT8-Aug'!E121</f>
        <v>11000000</v>
      </c>
      <c r="F164" s="515">
        <f>'UAT8-Aug'!F121</f>
        <v>16000000</v>
      </c>
      <c r="G164" s="515">
        <f>'UAT8-Aug'!G121</f>
        <v>81217500</v>
      </c>
      <c r="H164" s="515">
        <f>'UAT8-Aug'!H121</f>
        <v>127627500</v>
      </c>
      <c r="I164" s="515">
        <f>'UAT8-Aug'!I121</f>
        <v>97461000</v>
      </c>
      <c r="J164" s="515">
        <f>'UAT8-Aug'!J121</f>
        <v>55000000</v>
      </c>
      <c r="K164" s="515">
        <f>'UAT8-Aug'!K121</f>
        <v>10000000</v>
      </c>
      <c r="L164" s="515">
        <f>'UAT8-Aug'!L121</f>
        <v>11500000</v>
      </c>
      <c r="M164" s="515">
        <f>'UAT8-Aug'!M121</f>
        <v>7000000</v>
      </c>
      <c r="N164" s="515">
        <f>'UAT8-Aug'!N121</f>
        <v>8000000</v>
      </c>
      <c r="O164" s="515">
        <f>'UAT8-Aug'!O121</f>
        <v>6000000</v>
      </c>
      <c r="P164" s="560"/>
    </row>
    <row r="165" spans="1:16">
      <c r="A165" s="436" t="s">
        <v>750</v>
      </c>
      <c r="B165" s="515"/>
      <c r="C165" s="515"/>
      <c r="D165" s="515"/>
      <c r="E165" s="515"/>
      <c r="F165" s="515"/>
      <c r="G165" s="515"/>
      <c r="H165" s="515"/>
      <c r="I165" s="515"/>
      <c r="J165" s="515"/>
      <c r="K165" s="515"/>
      <c r="L165" s="515"/>
      <c r="M165" s="515"/>
      <c r="N165" s="515"/>
      <c r="O165" s="515"/>
      <c r="P165" s="560"/>
    </row>
    <row r="166" spans="1:16">
      <c r="A166" s="442" t="s">
        <v>494</v>
      </c>
      <c r="B166" s="515">
        <f>'UAT8-Aug'!B123</f>
        <v>700000</v>
      </c>
      <c r="C166" s="515">
        <f>'UAT8-Aug'!C123</f>
        <v>620000</v>
      </c>
      <c r="D166" s="515">
        <f>'UAT8-Aug'!D123</f>
        <v>0</v>
      </c>
      <c r="E166" s="515">
        <f>'UAT8-Aug'!E123</f>
        <v>0</v>
      </c>
      <c r="F166" s="515">
        <f>'UAT8-Aug'!F123</f>
        <v>0</v>
      </c>
      <c r="G166" s="515">
        <f>'UAT8-Aug'!G123</f>
        <v>0</v>
      </c>
      <c r="H166" s="515">
        <f>'UAT8-Aug'!H123</f>
        <v>12762750</v>
      </c>
      <c r="I166" s="515">
        <f>'UAT8-Aug'!I123</f>
        <v>0</v>
      </c>
      <c r="J166" s="515">
        <f>'UAT8-Aug'!J123</f>
        <v>5500000</v>
      </c>
      <c r="K166" s="515">
        <f>'UAT8-Aug'!K123</f>
        <v>1000000</v>
      </c>
      <c r="L166" s="515">
        <f>'UAT8-Aug'!L123</f>
        <v>0</v>
      </c>
      <c r="M166" s="515">
        <f>'UAT8-Aug'!M123</f>
        <v>1400000</v>
      </c>
      <c r="N166" s="515">
        <f>'UAT8-Aug'!N123</f>
        <v>1200000</v>
      </c>
      <c r="O166" s="515">
        <f>'UAT8-Aug'!O123</f>
        <v>0</v>
      </c>
      <c r="P166" s="560"/>
    </row>
    <row r="167" spans="1:16">
      <c r="A167" s="408" t="s">
        <v>566</v>
      </c>
      <c r="B167" s="515">
        <f>'UAT8-Aug'!B124</f>
        <v>1400000</v>
      </c>
      <c r="C167" s="515">
        <f>'UAT8-Aug'!C124</f>
        <v>1240000</v>
      </c>
      <c r="D167" s="515">
        <f>'UAT8-Aug'!D124</f>
        <v>0</v>
      </c>
      <c r="E167" s="515">
        <f>'UAT8-Aug'!E124</f>
        <v>0</v>
      </c>
      <c r="F167" s="515">
        <f>'UAT8-Aug'!F124</f>
        <v>0</v>
      </c>
      <c r="G167" s="515">
        <f>'UAT8-Aug'!G124</f>
        <v>0</v>
      </c>
      <c r="H167" s="515">
        <f>'UAT8-Aug'!H124</f>
        <v>25525500</v>
      </c>
      <c r="I167" s="515">
        <f>'UAT8-Aug'!I124</f>
        <v>0</v>
      </c>
      <c r="J167" s="515">
        <f>'UAT8-Aug'!J124</f>
        <v>11000000</v>
      </c>
      <c r="K167" s="515">
        <f>'UAT8-Aug'!K124</f>
        <v>2000000</v>
      </c>
      <c r="L167" s="515">
        <f>'UAT8-Aug'!L124</f>
        <v>0</v>
      </c>
      <c r="M167" s="515">
        <f>'UAT8-Aug'!M124</f>
        <v>2100000</v>
      </c>
      <c r="N167" s="515">
        <f>'UAT8-Aug'!N124</f>
        <v>1650000</v>
      </c>
      <c r="O167" s="515">
        <f>'UAT8-Aug'!O124</f>
        <v>0</v>
      </c>
      <c r="P167" s="560"/>
    </row>
    <row r="168" spans="1:16">
      <c r="A168" s="416" t="s">
        <v>493</v>
      </c>
      <c r="B168" s="515">
        <f>'UAT8-Aug'!B125</f>
        <v>3000000</v>
      </c>
      <c r="C168" s="515">
        <f>'UAT8-Aug'!C125</f>
        <v>3000000</v>
      </c>
      <c r="D168" s="515">
        <f>'UAT8-Aug'!D125</f>
        <v>0</v>
      </c>
      <c r="E168" s="515">
        <f>'UAT8-Aug'!E125</f>
        <v>3000000</v>
      </c>
      <c r="F168" s="515">
        <f>'UAT8-Aug'!F125</f>
        <v>3000000</v>
      </c>
      <c r="G168" s="515">
        <f>'UAT8-Aug'!G125</f>
        <v>0</v>
      </c>
      <c r="H168" s="515">
        <f>'UAT8-Aug'!H125</f>
        <v>0</v>
      </c>
      <c r="I168" s="515">
        <f>'UAT8-Aug'!I125</f>
        <v>0</v>
      </c>
      <c r="J168" s="515">
        <f>'UAT8-Aug'!J125</f>
        <v>3000000</v>
      </c>
      <c r="K168" s="515">
        <f>'UAT8-Aug'!K125</f>
        <v>3000000</v>
      </c>
      <c r="L168" s="515">
        <f>'UAT8-Aug'!L125</f>
        <v>3000000</v>
      </c>
      <c r="M168" s="515">
        <f>'UAT8-Aug'!M125</f>
        <v>3000000</v>
      </c>
      <c r="N168" s="515">
        <f>'UAT8-Aug'!N125</f>
        <v>3000000</v>
      </c>
      <c r="O168" s="515">
        <f>'UAT8-Aug'!O125</f>
        <v>0</v>
      </c>
      <c r="P168" s="560"/>
    </row>
    <row r="169" spans="1:16">
      <c r="A169" s="405" t="s">
        <v>528</v>
      </c>
      <c r="B169" s="515">
        <f>'UAT8-Aug'!B126</f>
        <v>3500000</v>
      </c>
      <c r="C169" s="515">
        <f>'UAT8-Aug'!C126</f>
        <v>3500000</v>
      </c>
      <c r="D169" s="515">
        <f>'UAT8-Aug'!D126</f>
        <v>0</v>
      </c>
      <c r="E169" s="515">
        <f>'UAT8-Aug'!E126</f>
        <v>3500000</v>
      </c>
      <c r="F169" s="515">
        <f>'UAT8-Aug'!F126</f>
        <v>3500000</v>
      </c>
      <c r="G169" s="515">
        <f>'UAT8-Aug'!G126</f>
        <v>0</v>
      </c>
      <c r="H169" s="515">
        <f>'UAT8-Aug'!H126</f>
        <v>4641000</v>
      </c>
      <c r="I169" s="515">
        <f>'UAT8-Aug'!I126</f>
        <v>4641000</v>
      </c>
      <c r="J169" s="515">
        <f>'UAT8-Aug'!J126</f>
        <v>3500000</v>
      </c>
      <c r="K169" s="515">
        <f>'UAT8-Aug'!K126</f>
        <v>3500000</v>
      </c>
      <c r="L169" s="515">
        <f>'UAT8-Aug'!L126</f>
        <v>3500000</v>
      </c>
      <c r="M169" s="515">
        <f>'UAT8-Aug'!M126</f>
        <v>3500000</v>
      </c>
      <c r="N169" s="515">
        <f>'UAT8-Aug'!N126</f>
        <v>3500000</v>
      </c>
      <c r="O169" s="515">
        <f>'UAT8-Aug'!O126</f>
        <v>0</v>
      </c>
      <c r="P169" s="560"/>
    </row>
    <row r="170" spans="1:16">
      <c r="A170" s="416" t="s">
        <v>592</v>
      </c>
      <c r="B170" s="515">
        <f>'UAT8-Aug'!B127</f>
        <v>2500000</v>
      </c>
      <c r="C170" s="515">
        <f>'UAT8-Aug'!C127</f>
        <v>2500000</v>
      </c>
      <c r="D170" s="515">
        <f>'UAT8-Aug'!D127</f>
        <v>0</v>
      </c>
      <c r="E170" s="515">
        <f>'UAT8-Aug'!E127</f>
        <v>2500000</v>
      </c>
      <c r="F170" s="515">
        <f>'UAT8-Aug'!F127</f>
        <v>2500000</v>
      </c>
      <c r="G170" s="515">
        <f>'UAT8-Aug'!G127</f>
        <v>0</v>
      </c>
      <c r="H170" s="515">
        <f>'UAT8-Aug'!H127</f>
        <v>0</v>
      </c>
      <c r="I170" s="515">
        <f>'UAT8-Aug'!I127</f>
        <v>0</v>
      </c>
      <c r="J170" s="515">
        <f>'UAT8-Aug'!J127</f>
        <v>2500000</v>
      </c>
      <c r="K170" s="515">
        <f>'UAT8-Aug'!K127</f>
        <v>2500000</v>
      </c>
      <c r="L170" s="515">
        <f>'UAT8-Aug'!L127</f>
        <v>2500000</v>
      </c>
      <c r="M170" s="515">
        <f>'UAT8-Aug'!M127</f>
        <v>2500000</v>
      </c>
      <c r="N170" s="515">
        <f>'UAT8-Aug'!N127</f>
        <v>2500000</v>
      </c>
      <c r="O170" s="515">
        <f>'UAT8-Aug'!O127</f>
        <v>0</v>
      </c>
      <c r="P170" s="560"/>
    </row>
    <row r="171" spans="1:16">
      <c r="A171" s="408" t="s">
        <v>491</v>
      </c>
      <c r="B171" s="515">
        <f>'UAT8-Aug'!B128</f>
        <v>730000</v>
      </c>
      <c r="C171" s="515">
        <f>'UAT8-Aug'!C128</f>
        <v>730000</v>
      </c>
      <c r="D171" s="515">
        <f>'UAT8-Aug'!D128</f>
        <v>0</v>
      </c>
      <c r="E171" s="515">
        <f>'UAT8-Aug'!E128</f>
        <v>730000</v>
      </c>
      <c r="F171" s="515">
        <f>'UAT8-Aug'!F128</f>
        <v>730000</v>
      </c>
      <c r="G171" s="515">
        <f>'UAT8-Aug'!G128</f>
        <v>0</v>
      </c>
      <c r="H171" s="515">
        <f>'UAT8-Aug'!H128</f>
        <v>0</v>
      </c>
      <c r="I171" s="515">
        <f>'UAT8-Aug'!I128</f>
        <v>0</v>
      </c>
      <c r="J171" s="515">
        <f>'UAT8-Aug'!J128</f>
        <v>730000</v>
      </c>
      <c r="K171" s="515">
        <f>'UAT8-Aug'!K128</f>
        <v>730000</v>
      </c>
      <c r="L171" s="515">
        <f>'UAT8-Aug'!L128</f>
        <v>730000</v>
      </c>
      <c r="M171" s="515">
        <f>'UAT8-Aug'!M128</f>
        <v>730000</v>
      </c>
      <c r="N171" s="515">
        <f>'UAT8-Aug'!N128</f>
        <v>730000</v>
      </c>
      <c r="O171" s="515">
        <f>'UAT8-Aug'!O128</f>
        <v>0</v>
      </c>
      <c r="P171" s="560"/>
    </row>
    <row r="172" spans="1:16">
      <c r="A172" s="408" t="s">
        <v>497</v>
      </c>
      <c r="B172" s="515">
        <f>'UAT8-Aug'!B129</f>
        <v>4000000</v>
      </c>
      <c r="C172" s="515">
        <f>'UAT8-Aug'!C129</f>
        <v>4000000</v>
      </c>
      <c r="D172" s="515">
        <f>'UAT8-Aug'!D129</f>
        <v>0</v>
      </c>
      <c r="E172" s="515">
        <f>'UAT8-Aug'!E129</f>
        <v>4000000</v>
      </c>
      <c r="F172" s="515">
        <f>'UAT8-Aug'!F129</f>
        <v>4000000</v>
      </c>
      <c r="G172" s="515">
        <f>'UAT8-Aug'!G129</f>
        <v>0</v>
      </c>
      <c r="H172" s="515">
        <f>'UAT8-Aug'!H129</f>
        <v>5221125</v>
      </c>
      <c r="I172" s="515">
        <f>'UAT8-Aug'!I129</f>
        <v>5221125</v>
      </c>
      <c r="J172" s="515">
        <f>'UAT8-Aug'!J129</f>
        <v>4000000</v>
      </c>
      <c r="K172" s="515">
        <f>'UAT8-Aug'!K129</f>
        <v>4000000</v>
      </c>
      <c r="L172" s="515">
        <f>'UAT8-Aug'!L129</f>
        <v>4000000</v>
      </c>
      <c r="M172" s="515">
        <f>'UAT8-Aug'!M129</f>
        <v>4000000</v>
      </c>
      <c r="N172" s="515">
        <f>'UAT8-Aug'!N129</f>
        <v>4000000</v>
      </c>
      <c r="O172" s="515">
        <f>'UAT8-Aug'!O129</f>
        <v>0</v>
      </c>
      <c r="P172" s="560"/>
    </row>
    <row r="173" spans="1:16">
      <c r="A173" s="6" t="s">
        <v>623</v>
      </c>
      <c r="B173" s="702">
        <f>B102+B103+B104</f>
        <v>40</v>
      </c>
      <c r="C173" s="702">
        <f>C102+C103+C104</f>
        <v>21.6</v>
      </c>
      <c r="D173" s="702"/>
      <c r="E173" s="702">
        <f>E102+E103+E104</f>
        <v>0</v>
      </c>
      <c r="F173" s="702">
        <f>F102+F103+F104</f>
        <v>0</v>
      </c>
      <c r="G173" s="702">
        <f>G102+G103+G104</f>
        <v>0</v>
      </c>
      <c r="H173" s="702">
        <f>H102+H103+H104</f>
        <v>20</v>
      </c>
      <c r="I173" s="702">
        <f>I102+I103+I104</f>
        <v>0</v>
      </c>
      <c r="J173" s="702">
        <f>J102+J103+J104</f>
        <v>0</v>
      </c>
      <c r="K173" s="702">
        <f>K102+K103+K104</f>
        <v>8</v>
      </c>
      <c r="L173" s="702">
        <f>L102+L103+L104</f>
        <v>0</v>
      </c>
      <c r="M173" s="702">
        <f>M102+M103+M104</f>
        <v>0</v>
      </c>
      <c r="N173" s="702">
        <f>N102+N103+N104</f>
        <v>96</v>
      </c>
      <c r="O173" s="702">
        <f>O102+O103+O104</f>
        <v>72</v>
      </c>
      <c r="P173" s="560"/>
    </row>
    <row r="174" spans="1:16">
      <c r="A174" s="6" t="s">
        <v>625</v>
      </c>
      <c r="B174" s="702">
        <f>B107+B108</f>
        <v>0</v>
      </c>
      <c r="C174" s="702">
        <f>C107+C108</f>
        <v>4</v>
      </c>
      <c r="D174" s="702"/>
      <c r="E174" s="702">
        <f>E107+E108</f>
        <v>0</v>
      </c>
      <c r="F174" s="702">
        <f>F107+F108</f>
        <v>0</v>
      </c>
      <c r="G174" s="702">
        <f>G107+G108</f>
        <v>0</v>
      </c>
      <c r="H174" s="702">
        <f>H107+H108</f>
        <v>0</v>
      </c>
      <c r="I174" s="702">
        <f>I107+I108</f>
        <v>0</v>
      </c>
      <c r="J174" s="702">
        <f>J107+J108</f>
        <v>0</v>
      </c>
      <c r="K174" s="702">
        <f>K107+K108</f>
        <v>48</v>
      </c>
      <c r="L174" s="702">
        <f>L107+L108</f>
        <v>0</v>
      </c>
      <c r="M174" s="702">
        <f>M107+M108</f>
        <v>0</v>
      </c>
      <c r="N174" s="702">
        <f>N107+N108</f>
        <v>0</v>
      </c>
      <c r="O174" s="702">
        <f>O107+O108</f>
        <v>0</v>
      </c>
      <c r="P174" s="560"/>
    </row>
    <row r="175" spans="1:16">
      <c r="A175" s="405" t="s">
        <v>606</v>
      </c>
      <c r="B175" s="443"/>
      <c r="C175" s="443"/>
      <c r="D175" s="443"/>
      <c r="E175" s="443"/>
      <c r="F175" s="443"/>
      <c r="G175" s="443">
        <f>'UAT8-Aug'!G133</f>
        <v>2320500</v>
      </c>
      <c r="H175" s="443">
        <f>'UAT8-Aug'!H133</f>
        <v>2320500</v>
      </c>
      <c r="I175" s="443">
        <f>'UAT8-Aug'!I133</f>
        <v>2320500</v>
      </c>
      <c r="J175" s="443"/>
      <c r="K175" s="443"/>
      <c r="L175" s="443"/>
      <c r="M175" s="443"/>
      <c r="N175" s="443"/>
      <c r="O175" s="443"/>
      <c r="P175" s="560"/>
    </row>
    <row r="176" spans="1:16">
      <c r="A176" s="405" t="s">
        <v>607</v>
      </c>
      <c r="B176" s="443"/>
      <c r="C176" s="443"/>
      <c r="D176" s="443"/>
      <c r="E176" s="443"/>
      <c r="F176" s="443"/>
      <c r="G176" s="443">
        <f>'UAT8-Aug'!G134</f>
        <v>4641000</v>
      </c>
      <c r="H176" s="443">
        <f>'UAT8-Aug'!H134</f>
        <v>4641000</v>
      </c>
      <c r="I176" s="443">
        <f>'UAT8-Aug'!I134</f>
        <v>4641000</v>
      </c>
      <c r="J176" s="443"/>
      <c r="K176" s="443"/>
      <c r="L176" s="443"/>
      <c r="M176" s="443"/>
      <c r="N176" s="443"/>
      <c r="O176" s="443"/>
      <c r="P176" s="560"/>
    </row>
    <row r="177" spans="1:16">
      <c r="A177" s="6" t="s">
        <v>1343</v>
      </c>
      <c r="B177" s="443">
        <f>B164-B175-B176</f>
        <v>7000000</v>
      </c>
      <c r="C177" s="443">
        <f t="shared" ref="C177:O177" si="24">C164-C175-C176</f>
        <v>6200000</v>
      </c>
      <c r="D177" s="443"/>
      <c r="E177" s="443">
        <f t="shared" si="24"/>
        <v>11000000</v>
      </c>
      <c r="F177" s="443">
        <f t="shared" si="24"/>
        <v>16000000</v>
      </c>
      <c r="G177" s="443">
        <f t="shared" si="24"/>
        <v>74256000</v>
      </c>
      <c r="H177" s="443">
        <f t="shared" si="24"/>
        <v>120666000</v>
      </c>
      <c r="I177" s="443">
        <f t="shared" si="24"/>
        <v>90499500</v>
      </c>
      <c r="J177" s="443">
        <f t="shared" si="24"/>
        <v>55000000</v>
      </c>
      <c r="K177" s="443">
        <f t="shared" si="24"/>
        <v>10000000</v>
      </c>
      <c r="L177" s="443">
        <f t="shared" si="24"/>
        <v>11500000</v>
      </c>
      <c r="M177" s="443">
        <f t="shared" si="24"/>
        <v>7000000</v>
      </c>
      <c r="N177" s="443">
        <f t="shared" si="24"/>
        <v>8000000</v>
      </c>
      <c r="O177" s="443">
        <f t="shared" si="24"/>
        <v>6000000</v>
      </c>
      <c r="P177" s="560"/>
    </row>
    <row r="178" spans="1:16">
      <c r="A178" s="6" t="s">
        <v>1344</v>
      </c>
      <c r="B178" s="443">
        <f>B164-ROUND(B175/B13,0)-ROUND(B176/B13,0)</f>
        <v>7000000</v>
      </c>
      <c r="C178" s="443">
        <f>C164-ROUND(C175/C13,0)-ROUND(C176/C13,0)</f>
        <v>6200000</v>
      </c>
      <c r="D178" s="443"/>
      <c r="E178" s="443">
        <f>E164-ROUND(E175/E13,0)-ROUND(E176/E13,0)</f>
        <v>11000000</v>
      </c>
      <c r="F178" s="443">
        <f>F164-ROUND(F175/F13,0)-ROUND(F176/F13,0)</f>
        <v>16000000</v>
      </c>
      <c r="G178" s="443">
        <f>G164-ROUND(G175/G13,0)-ROUND(G176/G13,0)</f>
        <v>74256000</v>
      </c>
      <c r="H178" s="443">
        <f>H164-ROUND(H175/H13,0)-ROUND(H176/H13,0)</f>
        <v>113704500</v>
      </c>
      <c r="I178" s="443">
        <f>I164-ROUND(I175/I13,0)-ROUND(I176/I13,0)</f>
        <v>88179000</v>
      </c>
      <c r="J178" s="443">
        <f>J164-ROUND(J175/J13,0)-ROUND(J176/J13,0)</f>
        <v>55000000</v>
      </c>
      <c r="K178" s="443">
        <f>K164-ROUND(K175/K13,0)-ROUND(K176/K13,0)</f>
        <v>10000000</v>
      </c>
      <c r="L178" s="443">
        <f>L164-ROUND(L175/L13,0)-ROUND(L176/L13,0)</f>
        <v>11500000</v>
      </c>
      <c r="M178" s="443">
        <f>M164-ROUND(M175/M13,0)-ROUND(M176/M13,0)</f>
        <v>7000000</v>
      </c>
      <c r="N178" s="443">
        <f>N164-ROUND(N175/N13,0)-ROUND(N176/N13,0)</f>
        <v>8000000</v>
      </c>
      <c r="O178" s="443">
        <f>O164-ROUND(O175/O13,0)-ROUND(O176/O13,0)</f>
        <v>6000000</v>
      </c>
      <c r="P178" s="560"/>
    </row>
    <row r="179" spans="1:16">
      <c r="A179" s="6" t="s">
        <v>1345</v>
      </c>
      <c r="B179" s="443">
        <f>MIN(IF(OR(B19="A",B19="B"),0,ROUND((B164+B166+B167+B169)/$B$4,0)*$B$5),29800000)</f>
        <v>0</v>
      </c>
      <c r="C179" s="443">
        <f>MIN(IF(OR(C19="A",C19="B"),0,ROUND((C164+C166+C167+C169)/$B$4,0)*$B$5),29800000)</f>
        <v>0</v>
      </c>
      <c r="D179" s="443">
        <f>MIN(IF(OR(D19="A",D19="B"),0,ROUND((D164+D166+D167+D169)/$B$4,0)*$B$5),29800000)</f>
        <v>0</v>
      </c>
      <c r="E179" s="443">
        <f>MIN(IF(OR(E19="A",E19="B"),0,ROUND((E164+E166+E167+E169)/$B$4,0)*$B$5),29800000)</f>
        <v>0</v>
      </c>
      <c r="F179" s="443">
        <f>MIN(IF(OR(F19="A",F19="B"),0,ROUND((F164+F166+F167+F169)/$B$4,0)*$B$5),29800000)</f>
        <v>0</v>
      </c>
      <c r="G179" s="443">
        <f>MIN(IF(OR(G19="A",G19="B"),0,ROUND((G164+G166+G167+G169)/$B$4,0)*$B$5),29800000)</f>
        <v>29800000</v>
      </c>
      <c r="H179" s="443">
        <f>MIN(IF(OR(H19="A",H19="B"),0,ROUND((H164+H166+H167+H169)/$B$4,0)*$B$5),29800000)</f>
        <v>29800000</v>
      </c>
      <c r="I179" s="443">
        <f>MIN(IF(OR(I19="A",I19="B"),0,ROUND((I164+I166+I167+I169)/$B$4,0)*$B$5),29800000)</f>
        <v>29800000</v>
      </c>
      <c r="J179" s="443">
        <f>MIN(IF(OR(J19="A",J19="B"),0,ROUND((J164+J166+J167+J169)/$B$4,0)*$B$5),29800000)</f>
        <v>0</v>
      </c>
      <c r="K179" s="443">
        <f>MIN(IF(OR(K19="A",K19="B"),0,ROUND((K164+K166+K167+K169)/$B$4,0)*$B$5),29800000)</f>
        <v>0</v>
      </c>
      <c r="L179" s="443">
        <f>MIN(IF(OR(L19="A",L19="B"),0,ROUND((L164+L166+L167+L169)/$B$4,0)*$B$5),29800000)</f>
        <v>0</v>
      </c>
      <c r="M179" s="443">
        <f>MIN(IF(OR(M19="A",M19="B"),0,ROUND((M164+M166+M167+M169)/$B$4,0)*$B$5),29800000)</f>
        <v>0</v>
      </c>
      <c r="N179" s="443">
        <f>MIN(IF(OR(N19="A",N19="B"),0,ROUND((N164+N166+N167+N169)/$B$4,0)*$B$5),29800000)</f>
        <v>0</v>
      </c>
      <c r="O179" s="443">
        <f>MIN(IF(OR(O19="A",O19="B"),0,ROUND((O164+O166+O167+O169)/$B$4,0)*$B$5),29800000)</f>
        <v>0</v>
      </c>
      <c r="P179" s="560"/>
    </row>
    <row r="180" spans="1:16">
      <c r="A180" s="6" t="s">
        <v>1346</v>
      </c>
      <c r="B180" s="443">
        <f>IF(OR(B19="A",B19="B"),0,ROUND((B178+B166+B167+B169)*B13/$B$4,0)*$B$5)</f>
        <v>0</v>
      </c>
      <c r="C180" s="443">
        <f>IF(OR(C19="A",C19="B"),0,ROUND((C178+C166+C167+C169)*C13/$B$4,0)*$B$5)</f>
        <v>0</v>
      </c>
      <c r="D180" s="443">
        <f>IF(OR(D19="A",D19="B"),0,ROUND((D178+D166+D167+D169)*D13/$B$4,0)*$B$5)</f>
        <v>0</v>
      </c>
      <c r="E180" s="443">
        <f>IF(OR(E19="A",E19="B"),0,ROUND((E178+E166+E167+E169)*E13/$B$4,0)*$B$5)</f>
        <v>0</v>
      </c>
      <c r="F180" s="443">
        <f>IF(OR(F19="A",F19="B"),0,ROUND((F178+F166+F167+F169)*F13/$B$4,0)*$B$5)</f>
        <v>0</v>
      </c>
      <c r="G180" s="443">
        <f>IF(OR(G19="A",G19="B"),0,ROUND((G178+G166+G167+G169)*G13/$B$4,0)*$B$5)</f>
        <v>75200000</v>
      </c>
      <c r="H180" s="443">
        <f>IF(OR(H19="A",H19="B"),0,ROUND((H178+H166+H167+H169)*H13/$B$4,0)*$B$5)</f>
        <v>79312500</v>
      </c>
      <c r="I180" s="443">
        <f>IF(OR(I19="A",I19="B"),0,ROUND((I178+I166+I167+I169)*I13/$B$4,0)*$B$5)</f>
        <v>70500000</v>
      </c>
      <c r="J180" s="443">
        <f>IF(OR(J19="A",J19="B"),0,ROUND((J178+J166+J167+J169)*J13/$B$4,0)*$B$5)</f>
        <v>0</v>
      </c>
      <c r="K180" s="443">
        <f>IF(OR(K19="A",K19="B"),0,ROUND((K178+K166+K167+K169)*K13/$B$4,0)*$B$5)</f>
        <v>0</v>
      </c>
      <c r="L180" s="443">
        <f>IF(OR(L19="A",L19="B"),0,ROUND((L178+L166+L167+L169)*L13/$B$4,0)*$B$5)</f>
        <v>0</v>
      </c>
      <c r="M180" s="443">
        <f>IF(OR(M19="A",M19="B"),0,ROUND((M178+M166+M167+M169)*M13/$B$4,0)*$B$5)</f>
        <v>0</v>
      </c>
      <c r="N180" s="443">
        <f>IF(OR(N19="A",N19="B"),0,ROUND((N178+N166+N167+N169)*N13/$B$4,0)*$B$5)</f>
        <v>0</v>
      </c>
      <c r="O180" s="443">
        <f>IF(OR(O19="A",O19="B"),0,ROUND((O178+O166+O167+O169)*O13/$B$4,0)*$B$5)</f>
        <v>0</v>
      </c>
      <c r="P180" s="560"/>
    </row>
    <row r="181" spans="1:16">
      <c r="A181" s="6" t="s">
        <v>657</v>
      </c>
      <c r="B181" s="551">
        <v>5</v>
      </c>
      <c r="C181" s="551">
        <v>4</v>
      </c>
      <c r="D181" s="551"/>
      <c r="E181" s="551"/>
      <c r="F181" s="551"/>
      <c r="G181" s="551"/>
      <c r="H181" s="551">
        <v>5</v>
      </c>
      <c r="I181" s="551"/>
      <c r="J181" s="551">
        <v>4</v>
      </c>
      <c r="K181" s="551">
        <v>1</v>
      </c>
      <c r="L181" s="551"/>
      <c r="M181" s="551"/>
      <c r="N181" s="551">
        <v>18</v>
      </c>
      <c r="O181" s="551">
        <v>18</v>
      </c>
      <c r="P181" s="560"/>
    </row>
    <row r="182" spans="1:16">
      <c r="A182" s="6" t="s">
        <v>813</v>
      </c>
      <c r="B182" s="551"/>
      <c r="C182" s="551"/>
      <c r="D182" s="551"/>
      <c r="E182" s="551">
        <f>AC119</f>
        <v>15</v>
      </c>
      <c r="F182" s="551"/>
      <c r="G182" s="551"/>
      <c r="H182" s="551"/>
      <c r="I182" s="551"/>
      <c r="J182" s="551"/>
      <c r="K182" s="551"/>
      <c r="L182" s="551"/>
      <c r="M182" s="551"/>
      <c r="N182" s="551"/>
      <c r="O182" s="551"/>
    </row>
  </sheetData>
  <mergeCells count="4">
    <mergeCell ref="G6:J6"/>
    <mergeCell ref="X6:AA6"/>
    <mergeCell ref="P7:P8"/>
    <mergeCell ref="X9:AA12"/>
  </mergeCells>
  <phoneticPr fontId="104" type="noConversion"/>
  <pageMargins left="0.75" right="0.75" top="1" bottom="1" header="0.5" footer="0.5"/>
  <pageSetup paperSize="9" orientation="portrait" verticalDpi="90" r:id="rId1"/>
  <headerFooter alignWithMargins="0"/>
  <drawing r:id="rId2"/>
  <legacyDrawing r:id="rId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F184"/>
  <sheetViews>
    <sheetView workbookViewId="0">
      <pane xSplit="1" ySplit="9" topLeftCell="B114" activePane="bottomRight" state="frozen"/>
      <selection pane="topRight" activeCell="B1" sqref="B1"/>
      <selection pane="bottomLeft" activeCell="A10" sqref="A10"/>
      <selection pane="bottomRight" activeCell="F120" sqref="F120"/>
    </sheetView>
  </sheetViews>
  <sheetFormatPr defaultRowHeight="13.8"/>
  <cols>
    <col min="1" max="1" width="31" style="5" bestFit="1" customWidth="1"/>
    <col min="2" max="5" width="10.77734375" style="5" customWidth="1"/>
    <col min="6" max="8" width="10.77734375" customWidth="1"/>
    <col min="9" max="9" width="11.6640625" bestFit="1" customWidth="1"/>
    <col min="10" max="15" width="10.77734375" customWidth="1"/>
    <col min="16" max="16" width="12.6640625" bestFit="1" customWidth="1"/>
    <col min="17" max="18" width="12.77734375" customWidth="1"/>
    <col min="19" max="21" width="10.77734375" customWidth="1"/>
    <col min="22" max="26" width="9.33203125" style="5" customWidth="1"/>
    <col min="27" max="27" width="10.77734375" style="5" bestFit="1" customWidth="1"/>
    <col min="28" max="29" width="9.33203125" style="5" customWidth="1"/>
  </cols>
  <sheetData>
    <row r="1" spans="1:29" s="3" customFormat="1" ht="20.399999999999999">
      <c r="A1" s="104" t="s">
        <v>6</v>
      </c>
      <c r="B1" s="104"/>
      <c r="C1" s="104"/>
      <c r="D1" s="104"/>
      <c r="E1" s="104"/>
      <c r="F1" s="440"/>
      <c r="L1" s="8"/>
      <c r="X1" s="1"/>
      <c r="Y1" s="1"/>
      <c r="Z1" s="1"/>
      <c r="AA1" s="1"/>
      <c r="AB1" s="1"/>
      <c r="AC1" s="1"/>
    </row>
    <row r="2" spans="1:29" s="3" customFormat="1" ht="12.75" customHeight="1">
      <c r="B2" s="110"/>
      <c r="C2" s="110"/>
      <c r="D2" s="110"/>
      <c r="E2" s="109"/>
      <c r="V2" s="22"/>
      <c r="W2" s="22"/>
      <c r="X2" s="22"/>
      <c r="Y2" s="22"/>
      <c r="Z2" s="22"/>
      <c r="AA2" s="2"/>
      <c r="AC2" s="2"/>
    </row>
    <row r="3" spans="1:29" s="3" customFormat="1" ht="30">
      <c r="A3" s="106" t="s">
        <v>1461</v>
      </c>
      <c r="B3" s="110"/>
      <c r="C3" s="110"/>
      <c r="D3" s="110"/>
      <c r="E3" s="106"/>
      <c r="V3" s="22"/>
      <c r="W3" s="22"/>
      <c r="X3" s="22"/>
      <c r="Y3" s="22"/>
      <c r="Z3" s="22"/>
      <c r="AA3" s="2"/>
      <c r="AC3" s="2"/>
    </row>
    <row r="4" spans="1:29" s="110" customFormat="1">
      <c r="A4" s="110" t="s">
        <v>1265</v>
      </c>
      <c r="B4" s="361">
        <v>23205</v>
      </c>
    </row>
    <row r="5" spans="1:29" s="110" customFormat="1">
      <c r="A5" s="110" t="s">
        <v>1268</v>
      </c>
      <c r="B5" s="361">
        <v>23500</v>
      </c>
    </row>
    <row r="6" spans="1:29" s="3" customFormat="1" ht="18" customHeight="1">
      <c r="A6" s="321">
        <v>43769</v>
      </c>
      <c r="B6" s="321"/>
      <c r="C6" s="110"/>
      <c r="D6" s="110"/>
      <c r="G6" s="748" t="s">
        <v>52</v>
      </c>
      <c r="H6" s="748"/>
      <c r="I6" s="748"/>
      <c r="J6" s="748"/>
      <c r="V6" s="22"/>
      <c r="W6" s="22"/>
      <c r="X6" s="747" t="s">
        <v>65</v>
      </c>
      <c r="Y6" s="747"/>
      <c r="Z6" s="747"/>
      <c r="AA6" s="747"/>
      <c r="AB6" s="2"/>
      <c r="AC6" s="2"/>
    </row>
    <row r="7" spans="1:29" s="4" customFormat="1">
      <c r="A7" s="402"/>
      <c r="B7" s="317" t="s">
        <v>34</v>
      </c>
      <c r="C7" s="318" t="s">
        <v>35</v>
      </c>
      <c r="D7" s="511" t="s">
        <v>36</v>
      </c>
      <c r="E7" s="318" t="s">
        <v>37</v>
      </c>
      <c r="F7" s="318" t="s">
        <v>38</v>
      </c>
      <c r="G7" s="318" t="s">
        <v>39</v>
      </c>
      <c r="H7" s="318" t="s">
        <v>40</v>
      </c>
      <c r="I7" s="318" t="s">
        <v>41</v>
      </c>
      <c r="J7" s="318" t="s">
        <v>42</v>
      </c>
      <c r="K7" s="318" t="s">
        <v>43</v>
      </c>
      <c r="L7" s="318" t="s">
        <v>44</v>
      </c>
      <c r="M7" s="318" t="s">
        <v>45</v>
      </c>
      <c r="N7" s="318" t="s">
        <v>46</v>
      </c>
      <c r="O7" s="711" t="s">
        <v>47</v>
      </c>
      <c r="P7" s="764" t="s">
        <v>498</v>
      </c>
      <c r="Q7" s="343" t="s">
        <v>514</v>
      </c>
      <c r="R7" s="343" t="s">
        <v>515</v>
      </c>
      <c r="S7" s="343" t="s">
        <v>517</v>
      </c>
      <c r="T7" s="343" t="s">
        <v>519</v>
      </c>
      <c r="U7" s="343" t="s">
        <v>521</v>
      </c>
      <c r="V7" s="344"/>
      <c r="W7" s="345"/>
      <c r="X7" s="345"/>
      <c r="Y7" s="345"/>
      <c r="Z7" s="345"/>
      <c r="AA7" s="345"/>
      <c r="AB7" s="345"/>
      <c r="AC7" s="346"/>
    </row>
    <row r="8" spans="1:29" ht="15.6">
      <c r="A8" s="403"/>
      <c r="B8" s="111">
        <f>'New Hire'!C6</f>
        <v>91999901</v>
      </c>
      <c r="C8" s="333">
        <f>'New Hire'!D6</f>
        <v>91999902</v>
      </c>
      <c r="D8" s="512">
        <f>'New Hire'!E6</f>
        <v>91999903</v>
      </c>
      <c r="E8" s="333">
        <f>'New Hire'!F6</f>
        <v>91999904</v>
      </c>
      <c r="F8" s="333">
        <f>'New Hire'!G6</f>
        <v>91999905</v>
      </c>
      <c r="G8" s="333">
        <f>'New Hire'!H6</f>
        <v>91999906</v>
      </c>
      <c r="H8" s="333">
        <f>'New Hire'!I6</f>
        <v>91999907</v>
      </c>
      <c r="I8" s="333">
        <f>'New Hire'!J6</f>
        <v>91999908</v>
      </c>
      <c r="J8" s="333">
        <f>'New Hire'!K6</f>
        <v>91999909</v>
      </c>
      <c r="K8" s="333">
        <f>'New Hire'!L6</f>
        <v>91999910</v>
      </c>
      <c r="L8" s="333">
        <f>'New Hire'!M6</f>
        <v>91999911</v>
      </c>
      <c r="M8" s="333">
        <f>'New Hire'!N6</f>
        <v>91999912</v>
      </c>
      <c r="N8" s="333">
        <f>'New Hire'!O6</f>
        <v>91999913</v>
      </c>
      <c r="O8" s="333">
        <f>'New Hire'!P6</f>
        <v>91999914</v>
      </c>
      <c r="P8" s="759"/>
      <c r="Q8" s="343" t="s">
        <v>513</v>
      </c>
      <c r="R8" s="343" t="s">
        <v>516</v>
      </c>
      <c r="S8" s="343" t="s">
        <v>518</v>
      </c>
      <c r="T8" s="343" t="s">
        <v>520</v>
      </c>
      <c r="U8" s="343" t="s">
        <v>522</v>
      </c>
      <c r="V8" s="47"/>
      <c r="W8" s="48"/>
      <c r="X8" s="20"/>
      <c r="Y8" s="20"/>
      <c r="Z8" s="20"/>
      <c r="AA8" s="20"/>
      <c r="AB8" s="20"/>
      <c r="AC8" s="15"/>
    </row>
    <row r="9" spans="1:29" ht="12.75" customHeight="1">
      <c r="A9" s="404" t="s">
        <v>63</v>
      </c>
      <c r="B9" s="23"/>
      <c r="C9" s="19"/>
      <c r="D9" s="19"/>
      <c r="E9" s="20"/>
      <c r="F9" s="19"/>
      <c r="G9" s="19"/>
      <c r="H9" s="21"/>
      <c r="I9" s="19"/>
      <c r="J9" s="19"/>
      <c r="K9" s="20"/>
      <c r="L9" s="20"/>
      <c r="M9" s="20"/>
      <c r="N9" s="20"/>
      <c r="O9" s="20"/>
      <c r="P9" s="336"/>
      <c r="Q9" s="20"/>
      <c r="R9" s="20"/>
      <c r="S9" s="20"/>
      <c r="T9" s="20"/>
      <c r="U9" s="20"/>
      <c r="V9" s="25"/>
      <c r="W9" s="26"/>
      <c r="X9" s="749" t="s">
        <v>601</v>
      </c>
      <c r="Y9" s="750"/>
      <c r="Z9" s="750"/>
      <c r="AA9" s="751"/>
      <c r="AB9" s="27"/>
      <c r="AC9" s="18"/>
    </row>
    <row r="10" spans="1:29">
      <c r="A10" s="417" t="s">
        <v>478</v>
      </c>
      <c r="B10" s="379">
        <v>43739</v>
      </c>
      <c r="C10" s="379">
        <v>43739</v>
      </c>
      <c r="D10" s="379">
        <v>43739</v>
      </c>
      <c r="E10" s="379">
        <v>43739</v>
      </c>
      <c r="F10" s="379">
        <v>43739</v>
      </c>
      <c r="G10" s="379">
        <v>43739</v>
      </c>
      <c r="H10" s="379">
        <v>43739</v>
      </c>
      <c r="I10" s="379">
        <v>43739</v>
      </c>
      <c r="J10" s="379">
        <v>43739</v>
      </c>
      <c r="K10" s="379">
        <v>43739</v>
      </c>
      <c r="L10" s="379">
        <v>43739</v>
      </c>
      <c r="M10" s="379">
        <v>43739</v>
      </c>
      <c r="N10" s="379">
        <v>43739</v>
      </c>
      <c r="O10" s="379">
        <v>43739</v>
      </c>
      <c r="P10" s="336"/>
      <c r="Q10" s="20"/>
      <c r="R10" s="20"/>
      <c r="S10" s="20"/>
      <c r="T10" s="20"/>
      <c r="U10" s="20"/>
      <c r="V10" s="28"/>
      <c r="W10" s="29"/>
      <c r="X10" s="752"/>
      <c r="Y10" s="753"/>
      <c r="Z10" s="753"/>
      <c r="AA10" s="754"/>
      <c r="AB10" s="30"/>
      <c r="AC10" s="15"/>
    </row>
    <row r="11" spans="1:29" ht="12.75" customHeight="1">
      <c r="A11" s="417" t="s">
        <v>489</v>
      </c>
      <c r="B11" s="331" t="str">
        <f>'UAT9-Sep'!B11</f>
        <v>1</v>
      </c>
      <c r="C11" s="331" t="str">
        <f>'UAT9-Sep'!C11</f>
        <v>P</v>
      </c>
      <c r="D11" s="331" t="str">
        <f>'New Hire'!E10</f>
        <v>3</v>
      </c>
      <c r="E11" s="331" t="str">
        <f>'UAT9-Sep'!E11</f>
        <v>3</v>
      </c>
      <c r="F11" s="331">
        <f>'UAT9-Sep'!F11</f>
        <v>4</v>
      </c>
      <c r="G11" s="331" t="str">
        <f>'UAT9-Sep'!G11</f>
        <v>1</v>
      </c>
      <c r="H11" s="331" t="str">
        <f>'UAT9-Sep'!H11</f>
        <v>I</v>
      </c>
      <c r="I11" s="331" t="str">
        <f>'UAT9-Sep'!I11</f>
        <v>S</v>
      </c>
      <c r="J11" s="331" t="str">
        <f>'UAT9-Sep'!J11</f>
        <v>P</v>
      </c>
      <c r="K11" s="331" t="str">
        <f>'UAT9-Sep'!K11</f>
        <v>1</v>
      </c>
      <c r="L11" s="331" t="str">
        <f>'UAT9-Sep'!L11</f>
        <v>1</v>
      </c>
      <c r="M11" s="331">
        <f>'UAT9-Sep'!M11</f>
        <v>3</v>
      </c>
      <c r="N11" s="331">
        <f>'UAT9-Sep'!N11</f>
        <v>3</v>
      </c>
      <c r="O11" s="331" t="str">
        <f>'UAT9-Sep'!O11</f>
        <v>1</v>
      </c>
      <c r="P11" s="336"/>
      <c r="Q11" s="20"/>
      <c r="R11" s="20"/>
      <c r="S11" s="20"/>
      <c r="T11" s="20"/>
      <c r="U11" s="20"/>
      <c r="V11" s="32"/>
      <c r="W11" s="20"/>
      <c r="X11" s="752"/>
      <c r="Y11" s="753"/>
      <c r="Z11" s="753"/>
      <c r="AA11" s="754"/>
      <c r="AB11" s="20"/>
      <c r="AC11" s="15"/>
    </row>
    <row r="12" spans="1:29" ht="12.75" customHeight="1">
      <c r="A12" s="98" t="s">
        <v>490</v>
      </c>
      <c r="B12" s="331" t="str">
        <f>'UAT9-Sep'!B12</f>
        <v>;P</v>
      </c>
      <c r="C12" s="331" t="str">
        <f>'UAT9-Sep'!C12</f>
        <v>;A</v>
      </c>
      <c r="D12" s="331" t="str">
        <f>'New Hire'!E11</f>
        <v>;E</v>
      </c>
      <c r="E12" s="331" t="str">
        <f>'UAT9-Sep'!E12</f>
        <v>;I</v>
      </c>
      <c r="F12" s="331" t="str">
        <f>'UAT9-Sep'!F12</f>
        <v>;P</v>
      </c>
      <c r="G12" s="331" t="str">
        <f>'UAT9-Sep'!G12</f>
        <v>;A</v>
      </c>
      <c r="H12" s="331" t="str">
        <f>'UAT9-Sep'!H12</f>
        <v>;A</v>
      </c>
      <c r="I12" s="331" t="str">
        <f>'UAT9-Sep'!I12</f>
        <v>;V</v>
      </c>
      <c r="J12" s="331" t="str">
        <f>'UAT9-Sep'!J12</f>
        <v>;P</v>
      </c>
      <c r="K12" s="331" t="str">
        <f>'UAT9-Sep'!K12</f>
        <v>;A</v>
      </c>
      <c r="L12" s="331" t="str">
        <f>'UAT9-Sep'!L12</f>
        <v>;I</v>
      </c>
      <c r="M12" s="331" t="str">
        <f>'UAT9-Sep'!M12</f>
        <v>;P</v>
      </c>
      <c r="N12" s="331" t="str">
        <f>'UAT9-Sep'!N12</f>
        <v>;P</v>
      </c>
      <c r="O12" s="331" t="str">
        <f>'UAT9-Sep'!O12</f>
        <v>;I</v>
      </c>
      <c r="P12" s="336"/>
      <c r="Q12" s="20"/>
      <c r="R12" s="20"/>
      <c r="S12" s="20"/>
      <c r="T12" s="20"/>
      <c r="U12" s="20"/>
      <c r="V12" s="32"/>
      <c r="W12" s="20"/>
      <c r="X12" s="755"/>
      <c r="Y12" s="756"/>
      <c r="Z12" s="756"/>
      <c r="AA12" s="757"/>
      <c r="AB12" s="20"/>
      <c r="AC12" s="15"/>
    </row>
    <row r="13" spans="1:29">
      <c r="A13" s="99" t="s">
        <v>476</v>
      </c>
      <c r="B13" s="649">
        <f>'UAT9-Sep'!B13</f>
        <v>1</v>
      </c>
      <c r="C13" s="649">
        <f>'UAT9-Sep'!C13</f>
        <v>0.9</v>
      </c>
      <c r="D13" s="649">
        <f>'New Hire'!E27</f>
        <v>1</v>
      </c>
      <c r="E13" s="649">
        <f>'UAT9-Sep'!E13</f>
        <v>1</v>
      </c>
      <c r="F13" s="649">
        <f>'UAT9-Sep'!F13</f>
        <v>0.8</v>
      </c>
      <c r="G13" s="649">
        <f>'UAT9-Sep'!G13</f>
        <v>1</v>
      </c>
      <c r="H13" s="649">
        <f>'UAT9-Sep'!H13</f>
        <v>0.5</v>
      </c>
      <c r="I13" s="649">
        <f>'UAT9-Sep'!I13</f>
        <v>0.75</v>
      </c>
      <c r="J13" s="649">
        <f>'UAT9-Sep'!J13</f>
        <v>0.6</v>
      </c>
      <c r="K13" s="649">
        <f>'UAT9-Sep'!K13</f>
        <v>1</v>
      </c>
      <c r="L13" s="649">
        <f>'UAT9-Sep'!L13</f>
        <v>1</v>
      </c>
      <c r="M13" s="649">
        <f>'UAT9-Sep'!M13</f>
        <v>1</v>
      </c>
      <c r="N13" s="649">
        <f>'UAT9-Sep'!N13</f>
        <v>1</v>
      </c>
      <c r="O13" s="649">
        <f>'UAT9-Sep'!O13</f>
        <v>0.75</v>
      </c>
      <c r="P13" s="336"/>
      <c r="Q13" s="20"/>
      <c r="R13" s="20"/>
      <c r="S13" s="20"/>
      <c r="T13" s="20"/>
      <c r="U13" s="20"/>
      <c r="V13" s="23"/>
      <c r="W13" s="19"/>
      <c r="X13" s="19"/>
      <c r="Y13" s="19"/>
      <c r="Z13" s="19"/>
      <c r="AA13" s="19"/>
      <c r="AB13" s="19"/>
      <c r="AC13" s="31"/>
    </row>
    <row r="14" spans="1:29">
      <c r="A14" s="417" t="s">
        <v>479</v>
      </c>
      <c r="B14" s="332">
        <f t="shared" ref="B14:O14" si="0">NETWORKDAYS(B10,$A$6)</f>
        <v>23</v>
      </c>
      <c r="C14" s="332">
        <f t="shared" si="0"/>
        <v>23</v>
      </c>
      <c r="D14" s="332">
        <f t="shared" si="0"/>
        <v>23</v>
      </c>
      <c r="E14" s="332">
        <f t="shared" si="0"/>
        <v>23</v>
      </c>
      <c r="F14" s="332">
        <f t="shared" si="0"/>
        <v>23</v>
      </c>
      <c r="G14" s="332">
        <f t="shared" si="0"/>
        <v>23</v>
      </c>
      <c r="H14" s="332">
        <f t="shared" si="0"/>
        <v>23</v>
      </c>
      <c r="I14" s="332">
        <f t="shared" si="0"/>
        <v>23</v>
      </c>
      <c r="J14" s="332">
        <f t="shared" si="0"/>
        <v>23</v>
      </c>
      <c r="K14" s="332">
        <f t="shared" si="0"/>
        <v>23</v>
      </c>
      <c r="L14" s="332">
        <f t="shared" si="0"/>
        <v>23</v>
      </c>
      <c r="M14" s="332">
        <f t="shared" si="0"/>
        <v>23</v>
      </c>
      <c r="N14" s="332">
        <f t="shared" si="0"/>
        <v>23</v>
      </c>
      <c r="O14" s="332">
        <f t="shared" si="0"/>
        <v>23</v>
      </c>
      <c r="P14" s="336"/>
      <c r="Q14" s="20"/>
      <c r="R14" s="20"/>
      <c r="S14" s="20"/>
      <c r="T14" s="20"/>
      <c r="U14" s="20"/>
      <c r="V14" s="23"/>
      <c r="W14" s="19"/>
      <c r="X14" s="19"/>
      <c r="Y14" s="19"/>
      <c r="Z14" s="19"/>
      <c r="AA14" s="19"/>
      <c r="AB14" s="19"/>
      <c r="AC14" s="31"/>
    </row>
    <row r="15" spans="1:29">
      <c r="A15" s="417" t="s">
        <v>793</v>
      </c>
      <c r="B15" s="332">
        <f t="shared" ref="B15:O15" si="1">B14-SUM(B144:B154)/(8*B13)</f>
        <v>23</v>
      </c>
      <c r="C15" s="332">
        <f t="shared" si="1"/>
        <v>23</v>
      </c>
      <c r="D15" s="332">
        <f t="shared" si="1"/>
        <v>23</v>
      </c>
      <c r="E15" s="332">
        <f t="shared" si="1"/>
        <v>2</v>
      </c>
      <c r="F15" s="332">
        <f t="shared" si="1"/>
        <v>23</v>
      </c>
      <c r="G15" s="332">
        <f t="shared" si="1"/>
        <v>23</v>
      </c>
      <c r="H15" s="332">
        <f t="shared" si="1"/>
        <v>4</v>
      </c>
      <c r="I15" s="332">
        <f t="shared" si="1"/>
        <v>23</v>
      </c>
      <c r="J15" s="332">
        <f t="shared" si="1"/>
        <v>23</v>
      </c>
      <c r="K15" s="332">
        <f t="shared" si="1"/>
        <v>23</v>
      </c>
      <c r="L15" s="332">
        <f t="shared" si="1"/>
        <v>23</v>
      </c>
      <c r="M15" s="332">
        <f t="shared" si="1"/>
        <v>23</v>
      </c>
      <c r="N15" s="332">
        <f t="shared" si="1"/>
        <v>23</v>
      </c>
      <c r="O15" s="332">
        <f t="shared" si="1"/>
        <v>23</v>
      </c>
      <c r="P15" s="336"/>
      <c r="Q15" s="20"/>
      <c r="R15" s="20"/>
      <c r="S15" s="20"/>
      <c r="T15" s="20"/>
      <c r="U15" s="20"/>
      <c r="V15" s="23"/>
      <c r="W15" s="19"/>
      <c r="X15" s="19"/>
      <c r="Y15" s="19"/>
      <c r="Z15" s="19"/>
      <c r="AA15" s="19"/>
      <c r="AB15" s="19"/>
      <c r="AC15" s="31"/>
    </row>
    <row r="16" spans="1:29">
      <c r="A16" s="417" t="s">
        <v>632</v>
      </c>
      <c r="B16" s="332">
        <f>NETWORKDAYS(EOMONTH($A$6,-1)+1,EOMONTH($A$6,0))</f>
        <v>23</v>
      </c>
      <c r="C16" s="332">
        <f t="shared" ref="C16:O16" si="2">NETWORKDAYS(EOMONTH($A$6,-1)+1,EOMONTH($A$6,0))</f>
        <v>23</v>
      </c>
      <c r="D16" s="332">
        <f t="shared" si="2"/>
        <v>23</v>
      </c>
      <c r="E16" s="332">
        <f t="shared" si="2"/>
        <v>23</v>
      </c>
      <c r="F16" s="332">
        <f t="shared" si="2"/>
        <v>23</v>
      </c>
      <c r="G16" s="332">
        <f t="shared" si="2"/>
        <v>23</v>
      </c>
      <c r="H16" s="332">
        <f t="shared" si="2"/>
        <v>23</v>
      </c>
      <c r="I16" s="332">
        <f t="shared" si="2"/>
        <v>23</v>
      </c>
      <c r="J16" s="332">
        <f t="shared" si="2"/>
        <v>23</v>
      </c>
      <c r="K16" s="332">
        <f t="shared" si="2"/>
        <v>23</v>
      </c>
      <c r="L16" s="332">
        <f t="shared" si="2"/>
        <v>23</v>
      </c>
      <c r="M16" s="332">
        <f t="shared" si="2"/>
        <v>23</v>
      </c>
      <c r="N16" s="332">
        <f t="shared" si="2"/>
        <v>23</v>
      </c>
      <c r="O16" s="332">
        <f t="shared" si="2"/>
        <v>23</v>
      </c>
      <c r="P16" s="336"/>
      <c r="Q16" s="20"/>
      <c r="R16" s="20"/>
      <c r="S16" s="20"/>
      <c r="T16" s="20"/>
      <c r="U16" s="20"/>
      <c r="V16" s="23"/>
      <c r="W16" s="19"/>
      <c r="X16" s="19"/>
      <c r="Y16" s="19"/>
      <c r="Z16" s="19"/>
      <c r="AA16" s="19"/>
      <c r="AB16" s="19"/>
      <c r="AC16" s="31"/>
    </row>
    <row r="17" spans="1:29">
      <c r="A17" s="417" t="s">
        <v>511</v>
      </c>
      <c r="B17" s="329">
        <f t="shared" ref="B17:O17" si="3">_xlfn.DAYS($A$6,B10)+1</f>
        <v>31</v>
      </c>
      <c r="C17" s="329">
        <f t="shared" si="3"/>
        <v>31</v>
      </c>
      <c r="D17" s="329">
        <f t="shared" si="3"/>
        <v>31</v>
      </c>
      <c r="E17" s="329">
        <f t="shared" si="3"/>
        <v>31</v>
      </c>
      <c r="F17" s="329">
        <f t="shared" si="3"/>
        <v>31</v>
      </c>
      <c r="G17" s="329">
        <f t="shared" si="3"/>
        <v>31</v>
      </c>
      <c r="H17" s="329">
        <f t="shared" si="3"/>
        <v>31</v>
      </c>
      <c r="I17" s="329">
        <f t="shared" si="3"/>
        <v>31</v>
      </c>
      <c r="J17" s="329">
        <f t="shared" si="3"/>
        <v>31</v>
      </c>
      <c r="K17" s="329">
        <f t="shared" si="3"/>
        <v>31</v>
      </c>
      <c r="L17" s="329">
        <f t="shared" si="3"/>
        <v>31</v>
      </c>
      <c r="M17" s="329">
        <f t="shared" si="3"/>
        <v>31</v>
      </c>
      <c r="N17" s="329">
        <f t="shared" si="3"/>
        <v>31</v>
      </c>
      <c r="O17" s="329">
        <f t="shared" si="3"/>
        <v>31</v>
      </c>
      <c r="P17" s="336"/>
      <c r="Q17" s="20"/>
      <c r="R17" s="20"/>
      <c r="S17" s="20"/>
      <c r="T17" s="20"/>
      <c r="U17" s="20"/>
      <c r="V17" s="23"/>
      <c r="W17" s="19"/>
      <c r="X17" s="19"/>
      <c r="Y17" s="19"/>
      <c r="Z17" s="19"/>
      <c r="AA17" s="19"/>
      <c r="AB17" s="19"/>
      <c r="AC17" s="31"/>
    </row>
    <row r="18" spans="1:29">
      <c r="A18" s="98" t="s">
        <v>531</v>
      </c>
      <c r="B18" s="330">
        <f>DATEDIF('New Hire'!C41,$A$6,"Y")</f>
        <v>10</v>
      </c>
      <c r="C18" s="331">
        <f>DATEDIF('New Hire'!D41,$A$6,"Y")</f>
        <v>13</v>
      </c>
      <c r="D18" s="331">
        <f>DATEDIF('New Hire'!E41,$A$6,"Y")</f>
        <v>0</v>
      </c>
      <c r="E18" s="331">
        <f>DATEDIF('New Hire'!F41,$A$6,"Y")</f>
        <v>4</v>
      </c>
      <c r="F18" s="331">
        <f>DATEDIF('New Hire'!G41,$A$6,"Y")</f>
        <v>10</v>
      </c>
      <c r="G18" s="331">
        <f>DATEDIF('New Hire'!H41,$A$6,"Y")</f>
        <v>0</v>
      </c>
      <c r="H18" s="331">
        <f>DATEDIF('New Hire'!I41,$A$6,"Y")</f>
        <v>15</v>
      </c>
      <c r="I18" s="331">
        <f>DATEDIF('New Hire'!J41,$A$6,"Y")</f>
        <v>0</v>
      </c>
      <c r="J18" s="331">
        <f>DATEDIF('New Hire'!K41,$A$6,"Y")</f>
        <v>0</v>
      </c>
      <c r="K18" s="331">
        <f>DATEDIF('New Hire'!L41,$A$6,"Y")</f>
        <v>10</v>
      </c>
      <c r="L18" s="331">
        <f>DATEDIF('New Hire'!M41,$A$6,"Y")</f>
        <v>5</v>
      </c>
      <c r="M18" s="331">
        <f>DATEDIF('New Hire'!N41,$A$6,"Y")</f>
        <v>0</v>
      </c>
      <c r="N18" s="331">
        <f>DATEDIF('New Hire'!O41,$A$6,"Y")</f>
        <v>11</v>
      </c>
      <c r="O18" s="331">
        <f>DATEDIF('New Hire'!P41,$A$6,"Y")</f>
        <v>0</v>
      </c>
      <c r="P18" s="336"/>
      <c r="Q18" s="20"/>
      <c r="R18" s="20"/>
      <c r="S18" s="20"/>
      <c r="T18" s="20"/>
      <c r="U18" s="20"/>
      <c r="V18" s="23"/>
      <c r="W18" s="19"/>
      <c r="X18" s="19"/>
      <c r="Y18" s="19"/>
      <c r="Z18" s="19"/>
      <c r="AA18" s="19"/>
      <c r="AB18" s="19"/>
      <c r="AC18" s="31"/>
    </row>
    <row r="19" spans="1:29">
      <c r="A19" s="98" t="s">
        <v>563</v>
      </c>
      <c r="B19" s="330" t="str">
        <f>'New Hire'!C52</f>
        <v>A</v>
      </c>
      <c r="C19" s="331" t="str">
        <f>'New Hire'!D52</f>
        <v>A</v>
      </c>
      <c r="D19" s="331" t="str">
        <f>'New Hire'!E52</f>
        <v>A</v>
      </c>
      <c r="E19" s="331" t="str">
        <f>'New Hire'!F52</f>
        <v>B</v>
      </c>
      <c r="F19" s="331" t="str">
        <f>'New Hire'!G52</f>
        <v>B</v>
      </c>
      <c r="G19" s="331" t="str">
        <f>'New Hire'!H52</f>
        <v>C</v>
      </c>
      <c r="H19" s="331" t="str">
        <f>'New Hire'!I52</f>
        <v>D</v>
      </c>
      <c r="I19" s="331" t="str">
        <f>'New Hire'!J52</f>
        <v>D</v>
      </c>
      <c r="J19" s="331" t="str">
        <f>'New Hire'!K52</f>
        <v>A</v>
      </c>
      <c r="K19" s="331" t="str">
        <f>'New Hire'!L52</f>
        <v>A</v>
      </c>
      <c r="L19" s="331" t="str">
        <f>'New Hire'!M52</f>
        <v>A</v>
      </c>
      <c r="M19" s="331" t="str">
        <f>'New Hire'!N52</f>
        <v>A</v>
      </c>
      <c r="N19" s="331" t="str">
        <f>'New Hire'!O52</f>
        <v>A</v>
      </c>
      <c r="O19" s="331" t="str">
        <f>'New Hire'!P52</f>
        <v>B</v>
      </c>
      <c r="P19" s="336"/>
      <c r="Q19" s="20"/>
      <c r="R19" s="20"/>
      <c r="S19" s="20"/>
      <c r="T19" s="20"/>
      <c r="U19" s="20"/>
      <c r="V19" s="23"/>
      <c r="W19" s="19"/>
      <c r="X19" s="19"/>
      <c r="Y19" s="19"/>
      <c r="Z19" s="19"/>
      <c r="AA19" s="19"/>
      <c r="AB19" s="19"/>
      <c r="AC19" s="31"/>
    </row>
    <row r="20" spans="1:29">
      <c r="A20" s="449" t="s">
        <v>107</v>
      </c>
      <c r="B20" s="88">
        <v>1</v>
      </c>
      <c r="C20" s="88">
        <v>2</v>
      </c>
      <c r="D20" s="88">
        <v>0</v>
      </c>
      <c r="E20" s="88">
        <v>3</v>
      </c>
      <c r="F20" s="88">
        <v>0</v>
      </c>
      <c r="G20" s="88">
        <v>0</v>
      </c>
      <c r="H20" s="88">
        <v>2</v>
      </c>
      <c r="I20" s="88">
        <v>0</v>
      </c>
      <c r="J20" s="88">
        <v>0</v>
      </c>
      <c r="K20" s="88">
        <v>0</v>
      </c>
      <c r="L20" s="88">
        <v>0</v>
      </c>
      <c r="M20" s="88">
        <v>0</v>
      </c>
      <c r="N20" s="88">
        <v>0</v>
      </c>
      <c r="O20" s="88">
        <v>0</v>
      </c>
      <c r="P20" s="336"/>
      <c r="Q20" s="20"/>
      <c r="R20" s="20"/>
      <c r="S20" s="20"/>
      <c r="T20" s="20"/>
      <c r="U20" s="20"/>
      <c r="V20" s="23"/>
      <c r="W20" s="19"/>
      <c r="X20" s="19"/>
      <c r="Y20" s="19"/>
      <c r="Z20" s="19"/>
      <c r="AA20" s="19"/>
      <c r="AB20" s="19"/>
      <c r="AC20" s="31"/>
    </row>
    <row r="21" spans="1:29">
      <c r="A21" s="450" t="s">
        <v>113</v>
      </c>
      <c r="B21" s="89">
        <f>IF(OR(B19="A",B19="C"),3600000*B20,0)</f>
        <v>3600000</v>
      </c>
      <c r="C21" s="89">
        <f t="shared" ref="C21:O21" si="4">IF(OR(C19="A",C19="C"),3600000*C20,0)</f>
        <v>7200000</v>
      </c>
      <c r="D21" s="89">
        <f t="shared" si="4"/>
        <v>0</v>
      </c>
      <c r="E21" s="89">
        <f t="shared" si="4"/>
        <v>0</v>
      </c>
      <c r="F21" s="89">
        <f t="shared" si="4"/>
        <v>0</v>
      </c>
      <c r="G21" s="89">
        <f t="shared" si="4"/>
        <v>0</v>
      </c>
      <c r="H21" s="89">
        <f t="shared" si="4"/>
        <v>0</v>
      </c>
      <c r="I21" s="89">
        <f t="shared" si="4"/>
        <v>0</v>
      </c>
      <c r="J21" s="89">
        <f t="shared" si="4"/>
        <v>0</v>
      </c>
      <c r="K21" s="89">
        <f t="shared" si="4"/>
        <v>0</v>
      </c>
      <c r="L21" s="89">
        <f t="shared" si="4"/>
        <v>0</v>
      </c>
      <c r="M21" s="89">
        <f t="shared" si="4"/>
        <v>0</v>
      </c>
      <c r="N21" s="89">
        <f t="shared" si="4"/>
        <v>0</v>
      </c>
      <c r="O21" s="89">
        <f t="shared" si="4"/>
        <v>0</v>
      </c>
      <c r="P21" s="589">
        <f>SUM(B21:O21)</f>
        <v>10800000</v>
      </c>
      <c r="Q21" s="20"/>
      <c r="R21" s="20"/>
      <c r="S21" s="20"/>
      <c r="T21" s="20"/>
      <c r="U21" s="20"/>
      <c r="V21" s="23"/>
      <c r="W21" s="19"/>
      <c r="X21" s="19"/>
      <c r="Y21" s="19"/>
      <c r="Z21" s="19"/>
      <c r="AA21" s="19"/>
      <c r="AB21" s="19"/>
      <c r="AC21" s="31"/>
    </row>
    <row r="22" spans="1:29" ht="15.6">
      <c r="A22" s="450" t="s">
        <v>114</v>
      </c>
      <c r="B22" s="89">
        <f>IF(OR(B19="A",B19="C"),9000000,0)</f>
        <v>9000000</v>
      </c>
      <c r="C22" s="89">
        <f t="shared" ref="C22:O22" si="5">IF(OR(C19="A",C19="C"),9000000,0)</f>
        <v>9000000</v>
      </c>
      <c r="D22" s="89">
        <f t="shared" si="5"/>
        <v>9000000</v>
      </c>
      <c r="E22" s="89">
        <f t="shared" si="5"/>
        <v>0</v>
      </c>
      <c r="F22" s="89">
        <f t="shared" si="5"/>
        <v>0</v>
      </c>
      <c r="G22" s="89">
        <f t="shared" si="5"/>
        <v>9000000</v>
      </c>
      <c r="H22" s="89">
        <f t="shared" si="5"/>
        <v>0</v>
      </c>
      <c r="I22" s="89">
        <f t="shared" si="5"/>
        <v>0</v>
      </c>
      <c r="J22" s="89">
        <f t="shared" si="5"/>
        <v>9000000</v>
      </c>
      <c r="K22" s="89">
        <f t="shared" si="5"/>
        <v>9000000</v>
      </c>
      <c r="L22" s="89">
        <f t="shared" si="5"/>
        <v>9000000</v>
      </c>
      <c r="M22" s="89">
        <f t="shared" si="5"/>
        <v>9000000</v>
      </c>
      <c r="N22" s="89">
        <f t="shared" si="5"/>
        <v>9000000</v>
      </c>
      <c r="O22" s="89">
        <f t="shared" si="5"/>
        <v>0</v>
      </c>
      <c r="P22" s="589">
        <f>SUM(B22:O22)</f>
        <v>81000000</v>
      </c>
      <c r="Q22" s="66"/>
      <c r="R22" s="66"/>
      <c r="S22" s="66"/>
      <c r="T22" s="66"/>
      <c r="U22" s="66"/>
      <c r="V22" s="40"/>
      <c r="W22" s="41"/>
      <c r="X22" s="19"/>
      <c r="Y22" s="19"/>
      <c r="Z22" s="19"/>
      <c r="AA22" s="19"/>
      <c r="AB22" s="16"/>
      <c r="AC22" s="17"/>
    </row>
    <row r="23" spans="1:29" ht="15.6">
      <c r="A23" s="406" t="s">
        <v>53</v>
      </c>
      <c r="B23" s="64"/>
      <c r="C23" s="65"/>
      <c r="D23" s="65"/>
      <c r="E23" s="66"/>
      <c r="F23" s="65"/>
      <c r="G23" s="65"/>
      <c r="H23" s="21"/>
      <c r="I23" s="65"/>
      <c r="J23" s="65"/>
      <c r="K23" s="66"/>
      <c r="L23" s="66"/>
      <c r="M23" s="66"/>
      <c r="N23" s="66"/>
      <c r="O23" s="66"/>
      <c r="P23" s="337"/>
      <c r="Q23" s="66"/>
      <c r="R23" s="66"/>
      <c r="S23" s="66"/>
      <c r="T23" s="66"/>
      <c r="U23" s="66"/>
      <c r="V23" s="50"/>
      <c r="W23" s="44"/>
      <c r="X23" s="44"/>
      <c r="Y23" s="44"/>
      <c r="Z23" s="44"/>
      <c r="AA23" s="44"/>
      <c r="AB23" s="44"/>
      <c r="AC23" s="51"/>
    </row>
    <row r="24" spans="1:29">
      <c r="A24" s="407" t="s">
        <v>55</v>
      </c>
      <c r="B24" s="64"/>
      <c r="C24" s="65"/>
      <c r="D24" s="65"/>
      <c r="E24" s="66"/>
      <c r="F24" s="65"/>
      <c r="G24" s="65"/>
      <c r="H24" s="21"/>
      <c r="I24" s="65"/>
      <c r="J24" s="65"/>
      <c r="K24" s="66"/>
      <c r="L24" s="66"/>
      <c r="M24" s="66"/>
      <c r="N24" s="66"/>
      <c r="O24" s="66"/>
      <c r="P24" s="337"/>
      <c r="Q24" s="66"/>
      <c r="R24" s="66"/>
      <c r="S24" s="66"/>
      <c r="T24" s="66"/>
      <c r="U24" s="66"/>
      <c r="V24" s="112" t="s">
        <v>57</v>
      </c>
      <c r="W24" s="113" t="s">
        <v>67</v>
      </c>
      <c r="X24" s="113" t="s">
        <v>69</v>
      </c>
      <c r="Y24" s="113" t="s">
        <v>70</v>
      </c>
      <c r="Z24" s="113" t="s">
        <v>56</v>
      </c>
      <c r="AA24" s="113" t="s">
        <v>54</v>
      </c>
      <c r="AB24" s="113" t="s">
        <v>58</v>
      </c>
      <c r="AC24" s="114" t="s">
        <v>59</v>
      </c>
    </row>
    <row r="25" spans="1:29">
      <c r="A25" s="436" t="s">
        <v>477</v>
      </c>
      <c r="B25" s="326">
        <f t="shared" ref="B25:O25" si="6">ROUND(B180*B124,0)</f>
        <v>7000000</v>
      </c>
      <c r="C25" s="326">
        <f t="shared" si="6"/>
        <v>5580000</v>
      </c>
      <c r="D25" s="326">
        <f t="shared" si="6"/>
        <v>11000000</v>
      </c>
      <c r="E25" s="326">
        <f t="shared" si="6"/>
        <v>11000000</v>
      </c>
      <c r="F25" s="326">
        <f t="shared" si="6"/>
        <v>12800000</v>
      </c>
      <c r="G25" s="326">
        <f t="shared" si="6"/>
        <v>74256000</v>
      </c>
      <c r="H25" s="326">
        <f t="shared" si="6"/>
        <v>56852250</v>
      </c>
      <c r="I25" s="326">
        <f t="shared" si="6"/>
        <v>66134250</v>
      </c>
      <c r="J25" s="326">
        <f t="shared" si="6"/>
        <v>33000000</v>
      </c>
      <c r="K25" s="326">
        <f t="shared" si="6"/>
        <v>10000000</v>
      </c>
      <c r="L25" s="326">
        <f t="shared" si="6"/>
        <v>11500000</v>
      </c>
      <c r="M25" s="326">
        <f t="shared" si="6"/>
        <v>7000000</v>
      </c>
      <c r="N25" s="326">
        <f t="shared" si="6"/>
        <v>8000000</v>
      </c>
      <c r="O25" s="326">
        <f t="shared" si="6"/>
        <v>4500000</v>
      </c>
      <c r="P25" s="338">
        <f>SUM(B25:O25)</f>
        <v>318622500</v>
      </c>
      <c r="Q25" s="89" t="s">
        <v>523</v>
      </c>
      <c r="R25" s="89" t="s">
        <v>523</v>
      </c>
      <c r="S25" s="89" t="s">
        <v>523</v>
      </c>
      <c r="T25" s="89" t="s">
        <v>523</v>
      </c>
      <c r="U25" s="89" t="s">
        <v>523</v>
      </c>
      <c r="V25" s="350" t="s">
        <v>2</v>
      </c>
      <c r="W25" s="351">
        <v>91999901</v>
      </c>
      <c r="X25" s="352" t="s">
        <v>505</v>
      </c>
      <c r="Y25" s="352" t="s">
        <v>506</v>
      </c>
      <c r="Z25" s="353" t="s">
        <v>507</v>
      </c>
      <c r="AA25" s="354">
        <v>8000000</v>
      </c>
      <c r="AB25" s="352"/>
      <c r="AC25" s="355"/>
    </row>
    <row r="26" spans="1:29">
      <c r="A26" s="442" t="s">
        <v>494</v>
      </c>
      <c r="B26" s="326">
        <f t="shared" ref="B26:O26" si="7">ROUND(B168*B124,0)</f>
        <v>700000</v>
      </c>
      <c r="C26" s="326">
        <f t="shared" si="7"/>
        <v>558000</v>
      </c>
      <c r="D26" s="326">
        <f t="shared" si="7"/>
        <v>1100000</v>
      </c>
      <c r="E26" s="326">
        <f t="shared" si="7"/>
        <v>0</v>
      </c>
      <c r="F26" s="326">
        <f t="shared" si="7"/>
        <v>0</v>
      </c>
      <c r="G26" s="326">
        <f t="shared" si="7"/>
        <v>0</v>
      </c>
      <c r="H26" s="326">
        <f t="shared" si="7"/>
        <v>6381375</v>
      </c>
      <c r="I26" s="326">
        <f t="shared" si="7"/>
        <v>0</v>
      </c>
      <c r="J26" s="326">
        <f t="shared" si="7"/>
        <v>3300000</v>
      </c>
      <c r="K26" s="326">
        <f t="shared" si="7"/>
        <v>1000000</v>
      </c>
      <c r="L26" s="326">
        <f t="shared" si="7"/>
        <v>0</v>
      </c>
      <c r="M26" s="326">
        <f t="shared" si="7"/>
        <v>1400000</v>
      </c>
      <c r="N26" s="326">
        <f t="shared" si="7"/>
        <v>1200000</v>
      </c>
      <c r="O26" s="326">
        <f t="shared" si="7"/>
        <v>0</v>
      </c>
      <c r="P26" s="338">
        <f>SUM(B26:O26)</f>
        <v>15639375</v>
      </c>
      <c r="Q26" s="373" t="s">
        <v>523</v>
      </c>
      <c r="R26" s="373" t="s">
        <v>523</v>
      </c>
      <c r="S26" s="373" t="s">
        <v>523</v>
      </c>
      <c r="T26" s="373" t="s">
        <v>523</v>
      </c>
      <c r="U26" s="89" t="s">
        <v>523</v>
      </c>
      <c r="V26" s="350" t="s">
        <v>2</v>
      </c>
      <c r="W26" s="351">
        <v>91999902</v>
      </c>
      <c r="X26" s="352" t="s">
        <v>505</v>
      </c>
      <c r="Y26" s="352" t="s">
        <v>506</v>
      </c>
      <c r="Z26" s="353" t="s">
        <v>507</v>
      </c>
      <c r="AA26" s="354">
        <v>8000000</v>
      </c>
      <c r="AB26" s="352"/>
      <c r="AC26" s="355"/>
    </row>
    <row r="27" spans="1:29">
      <c r="A27" s="442" t="s">
        <v>566</v>
      </c>
      <c r="B27" s="326">
        <f t="shared" ref="B27:O27" si="8">ROUND(B169*B124,0)</f>
        <v>1400000</v>
      </c>
      <c r="C27" s="326">
        <f t="shared" si="8"/>
        <v>1116000</v>
      </c>
      <c r="D27" s="326">
        <f t="shared" si="8"/>
        <v>2350000</v>
      </c>
      <c r="E27" s="326">
        <f t="shared" si="8"/>
        <v>0</v>
      </c>
      <c r="F27" s="326">
        <f t="shared" si="8"/>
        <v>0</v>
      </c>
      <c r="G27" s="326">
        <f t="shared" si="8"/>
        <v>0</v>
      </c>
      <c r="H27" s="326">
        <f t="shared" si="8"/>
        <v>12762750</v>
      </c>
      <c r="I27" s="326">
        <f t="shared" si="8"/>
        <v>0</v>
      </c>
      <c r="J27" s="326">
        <f t="shared" si="8"/>
        <v>6600000</v>
      </c>
      <c r="K27" s="326">
        <f t="shared" si="8"/>
        <v>2000000</v>
      </c>
      <c r="L27" s="326">
        <f t="shared" si="8"/>
        <v>0</v>
      </c>
      <c r="M27" s="326">
        <f t="shared" si="8"/>
        <v>2100000</v>
      </c>
      <c r="N27" s="326">
        <f t="shared" si="8"/>
        <v>1650000</v>
      </c>
      <c r="O27" s="326">
        <f t="shared" si="8"/>
        <v>0</v>
      </c>
      <c r="P27" s="338">
        <f>SUM(B27:O27)</f>
        <v>29978750</v>
      </c>
      <c r="Q27" s="373" t="s">
        <v>523</v>
      </c>
      <c r="R27" s="373" t="s">
        <v>523</v>
      </c>
      <c r="S27" s="373" t="s">
        <v>523</v>
      </c>
      <c r="T27" s="373" t="s">
        <v>523</v>
      </c>
      <c r="U27" s="89" t="s">
        <v>523</v>
      </c>
      <c r="V27" s="350" t="s">
        <v>2</v>
      </c>
      <c r="W27" s="351">
        <v>91999904</v>
      </c>
      <c r="X27" s="352" t="s">
        <v>509</v>
      </c>
      <c r="Y27" s="352" t="s">
        <v>506</v>
      </c>
      <c r="Z27" s="353" t="s">
        <v>507</v>
      </c>
      <c r="AA27" s="354">
        <v>8000000</v>
      </c>
      <c r="AB27" s="352"/>
      <c r="AC27" s="355"/>
    </row>
    <row r="28" spans="1:29">
      <c r="A28" s="483" t="s">
        <v>1100</v>
      </c>
      <c r="B28" s="492"/>
      <c r="C28" s="431"/>
      <c r="D28" s="431"/>
      <c r="E28" s="431"/>
      <c r="F28" s="431"/>
      <c r="G28" s="431"/>
      <c r="H28" s="431"/>
      <c r="I28" s="431"/>
      <c r="J28" s="431"/>
      <c r="K28" s="431"/>
      <c r="L28" s="431"/>
      <c r="M28" s="431">
        <f>M93</f>
        <v>1211550</v>
      </c>
      <c r="N28" s="431"/>
      <c r="O28" s="431"/>
      <c r="P28" s="495">
        <f t="shared" ref="P28:P45" si="9">SUM(B28:O28)</f>
        <v>1211550</v>
      </c>
      <c r="Q28" s="437" t="s">
        <v>523</v>
      </c>
      <c r="R28" s="437" t="s">
        <v>523</v>
      </c>
      <c r="S28" s="428"/>
      <c r="T28" s="428"/>
      <c r="U28" s="428"/>
      <c r="V28" s="350" t="s">
        <v>2</v>
      </c>
      <c r="W28" s="351">
        <v>91999905</v>
      </c>
      <c r="X28" s="352" t="s">
        <v>505</v>
      </c>
      <c r="Y28" s="352" t="s">
        <v>506</v>
      </c>
      <c r="Z28" s="353" t="s">
        <v>507</v>
      </c>
      <c r="AA28" s="354">
        <v>8000000</v>
      </c>
      <c r="AB28" s="352"/>
      <c r="AC28" s="355"/>
    </row>
    <row r="29" spans="1:29">
      <c r="A29" s="509" t="s">
        <v>724</v>
      </c>
      <c r="B29" s="431"/>
      <c r="C29" s="431"/>
      <c r="D29" s="431"/>
      <c r="E29" s="431"/>
      <c r="F29" s="431"/>
      <c r="G29" s="431"/>
      <c r="H29" s="431"/>
      <c r="I29" s="431"/>
      <c r="J29" s="431"/>
      <c r="K29" s="431"/>
      <c r="L29" s="431"/>
      <c r="M29" s="431">
        <f>M94</f>
        <v>1211550</v>
      </c>
      <c r="N29" s="431"/>
      <c r="O29" s="431"/>
      <c r="P29" s="495">
        <f t="shared" si="9"/>
        <v>1211550</v>
      </c>
      <c r="Q29" s="437" t="s">
        <v>523</v>
      </c>
      <c r="R29" s="437"/>
      <c r="S29" s="428"/>
      <c r="T29" s="428"/>
      <c r="U29" s="428"/>
      <c r="V29" s="350" t="s">
        <v>2</v>
      </c>
      <c r="W29" s="351">
        <v>91999906</v>
      </c>
      <c r="X29" s="352" t="s">
        <v>505</v>
      </c>
      <c r="Y29" s="352" t="s">
        <v>506</v>
      </c>
      <c r="Z29" s="353" t="s">
        <v>507</v>
      </c>
      <c r="AA29" s="354">
        <v>8000000</v>
      </c>
      <c r="AB29" s="352"/>
      <c r="AC29" s="355"/>
    </row>
    <row r="30" spans="1:29">
      <c r="A30" s="517" t="s">
        <v>772</v>
      </c>
      <c r="B30" s="484">
        <f>ROUND('UAT9-Sep'!B117*SUM(B144:B154),0)*-1</f>
        <v>0</v>
      </c>
      <c r="C30" s="484">
        <f>ROUND('UAT9-Sep'!C117*SUM(C144:C154),0)*-1</f>
        <v>0</v>
      </c>
      <c r="D30" s="484">
        <f>ROUND('UAT9-Sep'!D117*SUM(D144:D154),0)*-1</f>
        <v>0</v>
      </c>
      <c r="E30" s="484">
        <f>ROUND('UAT9-Sep'!E117*SUM(E144:E154),0)*-1</f>
        <v>-10999968</v>
      </c>
      <c r="F30" s="484">
        <f>ROUND('UAT9-Sep'!F117*SUM(F144:F154),0)*-1</f>
        <v>0</v>
      </c>
      <c r="G30" s="484">
        <f>ROUND('UAT9-Sep'!G117*SUM(G144:G154),0)*-1</f>
        <v>0</v>
      </c>
      <c r="H30" s="484">
        <f>ROUND('UAT9-Sep'!H117*SUM(H144:H154),0)*-1</f>
        <v>-51437788</v>
      </c>
      <c r="I30" s="484">
        <f>ROUND('UAT9-Sep'!I117*SUM(I144:I154),0)*-1</f>
        <v>0</v>
      </c>
      <c r="J30" s="484">
        <f>ROUND('UAT9-Sep'!J117*SUM(J144:J154),0)*-1</f>
        <v>0</v>
      </c>
      <c r="K30" s="484">
        <f>ROUND('UAT9-Sep'!K117*SUM(K144:K154),0)*-1</f>
        <v>0</v>
      </c>
      <c r="L30" s="484">
        <f>ROUND('UAT9-Sep'!L117*SUM(L144:L154),0)*-1</f>
        <v>0</v>
      </c>
      <c r="M30" s="484">
        <f>ROUND('UAT9-Sep'!M117*SUM(M144:M154),0)*-1</f>
        <v>0</v>
      </c>
      <c r="N30" s="484">
        <f>ROUND('UAT9-Sep'!N117*SUM(N144:N154),0)*-1</f>
        <v>0</v>
      </c>
      <c r="O30" s="432">
        <f>ROUND('UAT9-Sep'!O117*SUM(O144:O154),0)*-1</f>
        <v>0</v>
      </c>
      <c r="P30" s="495">
        <f t="shared" si="9"/>
        <v>-62437756</v>
      </c>
      <c r="Q30" s="437" t="s">
        <v>523</v>
      </c>
      <c r="R30" s="437" t="s">
        <v>523</v>
      </c>
      <c r="S30" s="437"/>
      <c r="T30" s="437"/>
      <c r="U30" s="437"/>
      <c r="V30" s="350" t="s">
        <v>2</v>
      </c>
      <c r="W30" s="351">
        <v>91999907</v>
      </c>
      <c r="X30" s="352" t="s">
        <v>505</v>
      </c>
      <c r="Y30" s="352" t="s">
        <v>506</v>
      </c>
      <c r="Z30" s="353" t="s">
        <v>535</v>
      </c>
      <c r="AA30" s="354">
        <v>7000000</v>
      </c>
      <c r="AB30" s="352"/>
      <c r="AC30" s="355"/>
    </row>
    <row r="31" spans="1:29">
      <c r="A31" s="517" t="s">
        <v>773</v>
      </c>
      <c r="B31" s="484">
        <f>ROUND('UAT9-Sep'!B118*SUM(B144:B154),0)*-1</f>
        <v>0</v>
      </c>
      <c r="C31" s="484">
        <f>ROUND('UAT9-Sep'!C118*SUM(C144:C154),0)*-1</f>
        <v>0</v>
      </c>
      <c r="D31" s="484">
        <f>ROUND('UAT9-Sep'!D118*SUM(D144:D154),0)*-1</f>
        <v>0</v>
      </c>
      <c r="E31" s="484">
        <f>ROUND('UAT9-Sep'!E118*SUM(E144:E154),0)*-1</f>
        <v>-13729968</v>
      </c>
      <c r="F31" s="484">
        <f>ROUND('UAT9-Sep'!F118*SUM(F144:F154),0)*-1</f>
        <v>0</v>
      </c>
      <c r="G31" s="484">
        <f>ROUND('UAT9-Sep'!G118*SUM(G144:G154),0)*-1</f>
        <v>0</v>
      </c>
      <c r="H31" s="484">
        <f>ROUND('UAT9-Sep'!H118*SUM(H144:H154),0)*-1</f>
        <v>-21782284</v>
      </c>
      <c r="I31" s="484">
        <f>ROUND('UAT9-Sep'!I118*SUM(I144:I154),0)*-1</f>
        <v>0</v>
      </c>
      <c r="J31" s="484">
        <f>ROUND('UAT9-Sep'!J118*SUM(J144:J154),0)*-1</f>
        <v>0</v>
      </c>
      <c r="K31" s="484">
        <f>ROUND('UAT9-Sep'!K118*SUM(K144:K154),0)*-1</f>
        <v>0</v>
      </c>
      <c r="L31" s="484">
        <f>ROUND('UAT9-Sep'!L118*SUM(L144:L154),0)*-1</f>
        <v>0</v>
      </c>
      <c r="M31" s="484">
        <f>ROUND('UAT9-Sep'!M118*SUM(M144:M154),0)*-1</f>
        <v>0</v>
      </c>
      <c r="N31" s="484">
        <f>ROUND('UAT9-Sep'!N118*SUM(N144:N154),0)*-1</f>
        <v>0</v>
      </c>
      <c r="O31" s="432">
        <f>ROUND('UAT9-Sep'!O118*SUM(O144:O154),0)*-1</f>
        <v>0</v>
      </c>
      <c r="P31" s="495">
        <f t="shared" si="9"/>
        <v>-35512252</v>
      </c>
      <c r="Q31" s="437" t="s">
        <v>523</v>
      </c>
      <c r="R31" s="437" t="s">
        <v>523</v>
      </c>
      <c r="S31" s="437"/>
      <c r="T31" s="437"/>
      <c r="U31" s="437"/>
      <c r="V31" s="350" t="s">
        <v>1332</v>
      </c>
      <c r="W31" s="351">
        <v>91999906</v>
      </c>
      <c r="X31" s="352" t="s">
        <v>692</v>
      </c>
      <c r="Y31" s="352" t="s">
        <v>1154</v>
      </c>
      <c r="Z31" s="353">
        <v>7065</v>
      </c>
      <c r="AA31" s="354">
        <v>100</v>
      </c>
      <c r="AB31" s="352" t="s">
        <v>1329</v>
      </c>
      <c r="AC31" s="355"/>
    </row>
    <row r="32" spans="1:29">
      <c r="A32" s="416" t="s">
        <v>493</v>
      </c>
      <c r="B32" s="515">
        <f t="shared" ref="B32:O32" si="10">ROUND(B170*B124,0)</f>
        <v>3000000</v>
      </c>
      <c r="C32" s="515">
        <f t="shared" si="10"/>
        <v>2700000</v>
      </c>
      <c r="D32" s="515">
        <f t="shared" si="10"/>
        <v>0</v>
      </c>
      <c r="E32" s="515">
        <f t="shared" si="10"/>
        <v>3000000</v>
      </c>
      <c r="F32" s="515">
        <f t="shared" si="10"/>
        <v>2400000</v>
      </c>
      <c r="G32" s="515">
        <f t="shared" si="10"/>
        <v>0</v>
      </c>
      <c r="H32" s="515">
        <f t="shared" si="10"/>
        <v>0</v>
      </c>
      <c r="I32" s="515">
        <f t="shared" si="10"/>
        <v>0</v>
      </c>
      <c r="J32" s="515">
        <f t="shared" si="10"/>
        <v>1800000</v>
      </c>
      <c r="K32" s="515">
        <f t="shared" si="10"/>
        <v>3000000</v>
      </c>
      <c r="L32" s="515">
        <f t="shared" si="10"/>
        <v>3000000</v>
      </c>
      <c r="M32" s="515">
        <f t="shared" si="10"/>
        <v>3000000</v>
      </c>
      <c r="N32" s="515">
        <f t="shared" si="10"/>
        <v>3000000</v>
      </c>
      <c r="O32" s="515">
        <f t="shared" si="10"/>
        <v>0</v>
      </c>
      <c r="P32" s="697">
        <f t="shared" si="9"/>
        <v>24900000</v>
      </c>
      <c r="Q32" s="522" t="s">
        <v>523</v>
      </c>
      <c r="R32" s="522" t="s">
        <v>523</v>
      </c>
      <c r="S32" s="522"/>
      <c r="T32" s="522"/>
      <c r="U32" s="522"/>
      <c r="V32" s="350" t="s">
        <v>2</v>
      </c>
      <c r="W32" s="351">
        <v>91999907</v>
      </c>
      <c r="X32" s="352" t="s">
        <v>596</v>
      </c>
      <c r="Y32" s="352" t="s">
        <v>506</v>
      </c>
      <c r="Z32" s="353">
        <v>7065</v>
      </c>
      <c r="AA32" s="354">
        <v>100</v>
      </c>
      <c r="AB32" s="438" t="s">
        <v>539</v>
      </c>
      <c r="AC32" s="439"/>
    </row>
    <row r="33" spans="1:31">
      <c r="A33" s="554" t="s">
        <v>528</v>
      </c>
      <c r="B33" s="515">
        <f t="shared" ref="B33:O33" si="11">ROUND(B171*B124,0)</f>
        <v>3500000</v>
      </c>
      <c r="C33" s="515">
        <f t="shared" si="11"/>
        <v>3150000</v>
      </c>
      <c r="D33" s="515">
        <f t="shared" si="11"/>
        <v>0</v>
      </c>
      <c r="E33" s="515">
        <f t="shared" si="11"/>
        <v>3500000</v>
      </c>
      <c r="F33" s="515">
        <f t="shared" si="11"/>
        <v>2800000</v>
      </c>
      <c r="G33" s="515">
        <f t="shared" si="11"/>
        <v>0</v>
      </c>
      <c r="H33" s="515">
        <f t="shared" si="11"/>
        <v>2320500</v>
      </c>
      <c r="I33" s="515">
        <f t="shared" si="11"/>
        <v>3480750</v>
      </c>
      <c r="J33" s="515">
        <f t="shared" si="11"/>
        <v>2100000</v>
      </c>
      <c r="K33" s="515">
        <f t="shared" si="11"/>
        <v>3500000</v>
      </c>
      <c r="L33" s="515">
        <f t="shared" si="11"/>
        <v>3500000</v>
      </c>
      <c r="M33" s="515">
        <f t="shared" si="11"/>
        <v>3500000</v>
      </c>
      <c r="N33" s="515">
        <f t="shared" si="11"/>
        <v>3500000</v>
      </c>
      <c r="O33" s="515">
        <f t="shared" si="11"/>
        <v>0</v>
      </c>
      <c r="P33" s="697">
        <f t="shared" si="9"/>
        <v>34851250</v>
      </c>
      <c r="Q33" s="522" t="s">
        <v>523</v>
      </c>
      <c r="R33" s="522" t="s">
        <v>523</v>
      </c>
      <c r="S33" s="522"/>
      <c r="T33" s="522"/>
      <c r="U33" s="522"/>
      <c r="V33" s="350" t="s">
        <v>2</v>
      </c>
      <c r="W33" s="351">
        <v>91999908</v>
      </c>
      <c r="X33" s="352" t="s">
        <v>505</v>
      </c>
      <c r="Y33" s="352" t="s">
        <v>506</v>
      </c>
      <c r="Z33" s="353">
        <v>7065</v>
      </c>
      <c r="AA33" s="354">
        <v>100</v>
      </c>
      <c r="AB33" s="438" t="s">
        <v>539</v>
      </c>
      <c r="AC33" s="439"/>
    </row>
    <row r="34" spans="1:31">
      <c r="A34" s="416" t="s">
        <v>497</v>
      </c>
      <c r="B34" s="515">
        <f t="shared" ref="B34:O34" si="12">ROUND(B174*B124,0)</f>
        <v>4000000</v>
      </c>
      <c r="C34" s="515">
        <f t="shared" si="12"/>
        <v>3600000</v>
      </c>
      <c r="D34" s="515">
        <f t="shared" si="12"/>
        <v>0</v>
      </c>
      <c r="E34" s="515">
        <f t="shared" si="12"/>
        <v>4000000</v>
      </c>
      <c r="F34" s="515">
        <f t="shared" si="12"/>
        <v>3200000</v>
      </c>
      <c r="G34" s="515">
        <f t="shared" si="12"/>
        <v>0</v>
      </c>
      <c r="H34" s="515">
        <f t="shared" si="12"/>
        <v>2610563</v>
      </c>
      <c r="I34" s="515">
        <f t="shared" si="12"/>
        <v>3915844</v>
      </c>
      <c r="J34" s="515">
        <f t="shared" si="12"/>
        <v>2400000</v>
      </c>
      <c r="K34" s="515">
        <f t="shared" si="12"/>
        <v>4000000</v>
      </c>
      <c r="L34" s="515">
        <f t="shared" si="12"/>
        <v>4000000</v>
      </c>
      <c r="M34" s="515">
        <f t="shared" si="12"/>
        <v>4000000</v>
      </c>
      <c r="N34" s="515">
        <f t="shared" si="12"/>
        <v>4000000</v>
      </c>
      <c r="O34" s="515">
        <f t="shared" si="12"/>
        <v>0</v>
      </c>
      <c r="P34" s="697">
        <f t="shared" si="9"/>
        <v>39726407</v>
      </c>
      <c r="Q34" s="522" t="s">
        <v>523</v>
      </c>
      <c r="R34" s="522" t="s">
        <v>523</v>
      </c>
      <c r="S34" s="522"/>
      <c r="T34" s="522"/>
      <c r="U34" s="522"/>
      <c r="V34" s="350" t="s">
        <v>1332</v>
      </c>
      <c r="W34" s="351">
        <v>91999906</v>
      </c>
      <c r="X34" s="352" t="s">
        <v>692</v>
      </c>
      <c r="Y34" s="352" t="s">
        <v>1154</v>
      </c>
      <c r="Z34" s="353">
        <v>7070</v>
      </c>
      <c r="AA34" s="354">
        <v>200</v>
      </c>
      <c r="AB34" s="352" t="s">
        <v>1329</v>
      </c>
      <c r="AC34" s="355"/>
    </row>
    <row r="35" spans="1:31">
      <c r="A35" s="416" t="s">
        <v>807</v>
      </c>
      <c r="B35" s="515"/>
      <c r="C35" s="515"/>
      <c r="D35" s="515"/>
      <c r="E35" s="515">
        <f>E156-E41-E42</f>
        <v>-3927824</v>
      </c>
      <c r="F35" s="515"/>
      <c r="G35" s="515"/>
      <c r="H35" s="515">
        <f>H156-H41-H42</f>
        <v>14860072</v>
      </c>
      <c r="I35" s="515"/>
      <c r="J35" s="515"/>
      <c r="K35" s="515"/>
      <c r="L35" s="515"/>
      <c r="M35" s="515"/>
      <c r="N35" s="515"/>
      <c r="O35" s="444"/>
      <c r="P35" s="697">
        <f t="shared" si="9"/>
        <v>10932248</v>
      </c>
      <c r="Q35" s="373" t="s">
        <v>523</v>
      </c>
      <c r="R35" s="373" t="s">
        <v>523</v>
      </c>
      <c r="S35" s="522"/>
      <c r="T35" s="522"/>
      <c r="U35" s="522"/>
      <c r="V35" s="350" t="s">
        <v>2</v>
      </c>
      <c r="W35" s="351">
        <v>91999907</v>
      </c>
      <c r="X35" s="352" t="s">
        <v>596</v>
      </c>
      <c r="Y35" s="352" t="s">
        <v>506</v>
      </c>
      <c r="Z35" s="353">
        <v>7070</v>
      </c>
      <c r="AA35" s="354">
        <v>200</v>
      </c>
      <c r="AB35" s="438" t="s">
        <v>539</v>
      </c>
      <c r="AC35" s="439"/>
    </row>
    <row r="36" spans="1:31">
      <c r="A36" s="416" t="s">
        <v>808</v>
      </c>
      <c r="B36" s="515"/>
      <c r="C36" s="515"/>
      <c r="D36" s="515"/>
      <c r="E36" s="515"/>
      <c r="F36" s="515"/>
      <c r="G36" s="515"/>
      <c r="H36" s="515"/>
      <c r="I36" s="515"/>
      <c r="J36" s="515"/>
      <c r="K36" s="515">
        <f>K157-K43</f>
        <v>-4391840</v>
      </c>
      <c r="L36" s="515"/>
      <c r="M36" s="515"/>
      <c r="N36" s="515"/>
      <c r="O36" s="444"/>
      <c r="P36" s="697">
        <f t="shared" si="9"/>
        <v>-4391840</v>
      </c>
      <c r="Q36" s="373" t="s">
        <v>523</v>
      </c>
      <c r="R36" s="373" t="s">
        <v>523</v>
      </c>
      <c r="S36" s="522"/>
      <c r="T36" s="522"/>
      <c r="U36" s="522"/>
      <c r="V36" s="350" t="s">
        <v>2</v>
      </c>
      <c r="W36" s="351">
        <v>91999908</v>
      </c>
      <c r="X36" s="352" t="s">
        <v>505</v>
      </c>
      <c r="Y36" s="352" t="s">
        <v>506</v>
      </c>
      <c r="Z36" s="353">
        <v>7070</v>
      </c>
      <c r="AA36" s="354">
        <v>200</v>
      </c>
      <c r="AB36" s="438" t="s">
        <v>539</v>
      </c>
      <c r="AC36" s="439"/>
    </row>
    <row r="37" spans="1:31">
      <c r="A37" s="416"/>
      <c r="B37" s="515"/>
      <c r="C37" s="515"/>
      <c r="D37" s="515"/>
      <c r="E37" s="515"/>
      <c r="F37" s="515"/>
      <c r="G37" s="515"/>
      <c r="H37" s="515"/>
      <c r="I37" s="515"/>
      <c r="J37" s="515"/>
      <c r="K37" s="515"/>
      <c r="L37" s="515"/>
      <c r="M37" s="515"/>
      <c r="N37" s="515"/>
      <c r="O37" s="444"/>
      <c r="P37" s="697"/>
      <c r="Q37" s="522"/>
      <c r="R37" s="522"/>
      <c r="S37" s="522"/>
      <c r="T37" s="522"/>
      <c r="U37" s="522"/>
      <c r="V37" s="350" t="s">
        <v>2</v>
      </c>
      <c r="W37" s="351">
        <v>91999901</v>
      </c>
      <c r="X37" s="352" t="s">
        <v>505</v>
      </c>
      <c r="Y37" s="352" t="s">
        <v>506</v>
      </c>
      <c r="Z37" s="353">
        <v>9140</v>
      </c>
      <c r="AA37" s="354"/>
      <c r="AB37" s="438">
        <v>0.76</v>
      </c>
      <c r="AC37" s="439"/>
    </row>
    <row r="38" spans="1:31">
      <c r="A38" s="510" t="s">
        <v>805</v>
      </c>
      <c r="B38" s="515"/>
      <c r="C38" s="515"/>
      <c r="D38" s="515"/>
      <c r="E38" s="515"/>
      <c r="F38" s="515"/>
      <c r="G38" s="515"/>
      <c r="H38" s="515"/>
      <c r="I38" s="515"/>
      <c r="J38" s="515"/>
      <c r="K38" s="515"/>
      <c r="L38" s="515"/>
      <c r="M38" s="515"/>
      <c r="N38" s="515"/>
      <c r="O38" s="543"/>
      <c r="P38" s="697"/>
      <c r="Q38" s="522"/>
      <c r="R38" s="522"/>
      <c r="S38" s="522"/>
      <c r="T38" s="522"/>
      <c r="U38" s="522"/>
      <c r="V38" s="350" t="s">
        <v>2</v>
      </c>
      <c r="W38" s="351">
        <v>91999907</v>
      </c>
      <c r="X38" s="352" t="s">
        <v>505</v>
      </c>
      <c r="Y38" s="352" t="s">
        <v>506</v>
      </c>
      <c r="Z38" s="353">
        <v>9140</v>
      </c>
      <c r="AA38" s="354"/>
      <c r="AB38" s="438">
        <v>0.56000000000000005</v>
      </c>
      <c r="AC38" s="439"/>
    </row>
    <row r="39" spans="1:31">
      <c r="A39" s="445" t="s">
        <v>592</v>
      </c>
      <c r="B39" s="515">
        <f t="shared" ref="B39:O39" si="13">ROUND(B172*B124,0)</f>
        <v>2500000</v>
      </c>
      <c r="C39" s="515">
        <f t="shared" si="13"/>
        <v>2250000</v>
      </c>
      <c r="D39" s="515">
        <f t="shared" si="13"/>
        <v>0</v>
      </c>
      <c r="E39" s="515">
        <f t="shared" si="13"/>
        <v>2500000</v>
      </c>
      <c r="F39" s="515">
        <f t="shared" si="13"/>
        <v>2000000</v>
      </c>
      <c r="G39" s="515">
        <f t="shared" si="13"/>
        <v>0</v>
      </c>
      <c r="H39" s="515">
        <f t="shared" si="13"/>
        <v>0</v>
      </c>
      <c r="I39" s="515">
        <f t="shared" si="13"/>
        <v>0</v>
      </c>
      <c r="J39" s="515">
        <f t="shared" si="13"/>
        <v>1500000</v>
      </c>
      <c r="K39" s="515">
        <f t="shared" si="13"/>
        <v>2500000</v>
      </c>
      <c r="L39" s="515">
        <f t="shared" si="13"/>
        <v>2500000</v>
      </c>
      <c r="M39" s="515">
        <f t="shared" si="13"/>
        <v>2500000</v>
      </c>
      <c r="N39" s="515">
        <f t="shared" si="13"/>
        <v>2500000</v>
      </c>
      <c r="O39" s="515">
        <f t="shared" si="13"/>
        <v>0</v>
      </c>
      <c r="P39" s="697">
        <f t="shared" si="9"/>
        <v>20750000</v>
      </c>
      <c r="Q39" s="373" t="s">
        <v>523</v>
      </c>
      <c r="R39" s="522"/>
      <c r="S39" s="522"/>
      <c r="T39" s="522"/>
      <c r="U39" s="522"/>
      <c r="V39" s="350" t="s">
        <v>1130</v>
      </c>
      <c r="W39" s="351">
        <v>91999903</v>
      </c>
      <c r="X39" s="352" t="s">
        <v>1131</v>
      </c>
      <c r="Y39" s="352" t="s">
        <v>506</v>
      </c>
      <c r="Z39" s="353">
        <v>1000</v>
      </c>
      <c r="AA39" s="354">
        <v>11000000</v>
      </c>
      <c r="AB39" s="438"/>
      <c r="AC39" s="439"/>
    </row>
    <row r="40" spans="1:31">
      <c r="A40" s="442" t="s">
        <v>491</v>
      </c>
      <c r="B40" s="515">
        <f t="shared" ref="B40:O40" si="14">ROUND(B173*B124,0)</f>
        <v>730000</v>
      </c>
      <c r="C40" s="515">
        <f t="shared" si="14"/>
        <v>657000</v>
      </c>
      <c r="D40" s="515">
        <f t="shared" si="14"/>
        <v>0</v>
      </c>
      <c r="E40" s="515">
        <f t="shared" si="14"/>
        <v>730000</v>
      </c>
      <c r="F40" s="515">
        <f t="shared" si="14"/>
        <v>584000</v>
      </c>
      <c r="G40" s="515">
        <f t="shared" si="14"/>
        <v>0</v>
      </c>
      <c r="H40" s="515">
        <f t="shared" si="14"/>
        <v>0</v>
      </c>
      <c r="I40" s="515">
        <f t="shared" si="14"/>
        <v>0</v>
      </c>
      <c r="J40" s="515">
        <f t="shared" si="14"/>
        <v>438000</v>
      </c>
      <c r="K40" s="515">
        <f t="shared" si="14"/>
        <v>730000</v>
      </c>
      <c r="L40" s="515">
        <f t="shared" si="14"/>
        <v>730000</v>
      </c>
      <c r="M40" s="515">
        <f t="shared" si="14"/>
        <v>730000</v>
      </c>
      <c r="N40" s="515">
        <f t="shared" si="14"/>
        <v>730000</v>
      </c>
      <c r="O40" s="515">
        <f t="shared" si="14"/>
        <v>0</v>
      </c>
      <c r="P40" s="697">
        <f t="shared" si="9"/>
        <v>6059000</v>
      </c>
      <c r="Q40" s="373" t="s">
        <v>523</v>
      </c>
      <c r="R40" s="522"/>
      <c r="S40" s="522"/>
      <c r="T40" s="522"/>
      <c r="U40" s="522"/>
      <c r="V40" s="350" t="s">
        <v>1130</v>
      </c>
      <c r="W40" s="351">
        <v>91999903</v>
      </c>
      <c r="X40" s="352" t="s">
        <v>1131</v>
      </c>
      <c r="Y40" s="352" t="s">
        <v>506</v>
      </c>
      <c r="Z40" s="353">
        <v>1100</v>
      </c>
      <c r="AA40" s="354">
        <v>1100000</v>
      </c>
      <c r="AB40" s="438"/>
      <c r="AC40" s="439"/>
    </row>
    <row r="41" spans="1:31">
      <c r="A41" s="416" t="s">
        <v>802</v>
      </c>
      <c r="B41" s="515"/>
      <c r="C41" s="515"/>
      <c r="D41" s="515"/>
      <c r="E41" s="515">
        <f>AA95</f>
        <v>30000000</v>
      </c>
      <c r="F41" s="515"/>
      <c r="G41" s="515"/>
      <c r="H41" s="515">
        <f>AA96</f>
        <v>50000000</v>
      </c>
      <c r="I41" s="515"/>
      <c r="J41" s="515"/>
      <c r="K41" s="515"/>
      <c r="L41" s="515"/>
      <c r="M41" s="515"/>
      <c r="N41" s="515"/>
      <c r="O41" s="543"/>
      <c r="P41" s="521">
        <f t="shared" si="9"/>
        <v>80000000</v>
      </c>
      <c r="Q41" s="373" t="s">
        <v>523</v>
      </c>
      <c r="R41" s="522"/>
      <c r="S41" s="522"/>
      <c r="T41" s="522"/>
      <c r="U41" s="522"/>
      <c r="V41" s="350" t="s">
        <v>1130</v>
      </c>
      <c r="W41" s="351">
        <v>91999903</v>
      </c>
      <c r="X41" s="352" t="s">
        <v>1131</v>
      </c>
      <c r="Y41" s="352" t="s">
        <v>506</v>
      </c>
      <c r="Z41" s="353">
        <v>1102</v>
      </c>
      <c r="AA41" s="354">
        <v>2350000</v>
      </c>
      <c r="AB41" s="438"/>
      <c r="AC41" s="439"/>
    </row>
    <row r="42" spans="1:31">
      <c r="A42" s="416" t="s">
        <v>803</v>
      </c>
      <c r="B42" s="515"/>
      <c r="C42" s="515"/>
      <c r="D42" s="515"/>
      <c r="E42" s="515">
        <f>IF(E41&lt;&gt;0,2*4180000,0)</f>
        <v>8360000</v>
      </c>
      <c r="F42" s="515"/>
      <c r="G42" s="515"/>
      <c r="H42" s="515">
        <f>IF(H41&lt;&gt;0,2*4180000,0)</f>
        <v>8360000</v>
      </c>
      <c r="I42" s="515"/>
      <c r="J42" s="515"/>
      <c r="K42" s="515"/>
      <c r="L42" s="515"/>
      <c r="M42" s="515"/>
      <c r="N42" s="515"/>
      <c r="O42" s="543"/>
      <c r="P42" s="521">
        <f t="shared" si="9"/>
        <v>16720000</v>
      </c>
      <c r="Q42" s="373" t="s">
        <v>523</v>
      </c>
      <c r="R42" s="522"/>
      <c r="S42" s="522"/>
      <c r="T42" s="522"/>
      <c r="U42" s="522"/>
      <c r="V42" s="350" t="s">
        <v>2</v>
      </c>
      <c r="W42" s="351">
        <v>91999901</v>
      </c>
      <c r="X42" s="352" t="s">
        <v>769</v>
      </c>
      <c r="Y42" s="352" t="s">
        <v>1460</v>
      </c>
      <c r="Z42" s="353">
        <v>3081</v>
      </c>
      <c r="AA42" s="354">
        <v>3000000</v>
      </c>
      <c r="AB42" s="352"/>
      <c r="AC42" s="355"/>
    </row>
    <row r="43" spans="1:31">
      <c r="A43" s="416" t="s">
        <v>804</v>
      </c>
      <c r="B43" s="515"/>
      <c r="C43" s="515"/>
      <c r="D43" s="515"/>
      <c r="E43" s="515"/>
      <c r="F43" s="515"/>
      <c r="G43" s="515"/>
      <c r="H43" s="515"/>
      <c r="I43" s="515"/>
      <c r="J43" s="515"/>
      <c r="K43" s="515">
        <f>AA97</f>
        <v>8000000</v>
      </c>
      <c r="L43" s="515"/>
      <c r="M43" s="515"/>
      <c r="N43" s="515"/>
      <c r="O43" s="543"/>
      <c r="P43" s="521">
        <f t="shared" si="9"/>
        <v>8000000</v>
      </c>
      <c r="Q43" s="373" t="s">
        <v>523</v>
      </c>
      <c r="R43" s="522"/>
      <c r="S43" s="522"/>
      <c r="T43" s="522"/>
      <c r="U43" s="522"/>
      <c r="V43" s="350" t="s">
        <v>2</v>
      </c>
      <c r="W43" s="351">
        <v>91999902</v>
      </c>
      <c r="X43" s="352" t="s">
        <v>769</v>
      </c>
      <c r="Y43" s="352" t="s">
        <v>1460</v>
      </c>
      <c r="Z43" s="353">
        <v>3081</v>
      </c>
      <c r="AA43" s="354">
        <v>3000000</v>
      </c>
      <c r="AB43" s="352"/>
      <c r="AC43" s="355"/>
    </row>
    <row r="44" spans="1:31">
      <c r="A44" s="416" t="s">
        <v>830</v>
      </c>
      <c r="B44" s="515"/>
      <c r="C44" s="515"/>
      <c r="D44" s="515"/>
      <c r="E44" s="515"/>
      <c r="F44" s="515"/>
      <c r="G44" s="515"/>
      <c r="H44" s="515"/>
      <c r="I44" s="515"/>
      <c r="J44" s="515"/>
      <c r="K44" s="515"/>
      <c r="L44" s="515"/>
      <c r="M44" s="515"/>
      <c r="N44" s="515">
        <f>AA101</f>
        <v>9000000</v>
      </c>
      <c r="O44" s="543"/>
      <c r="P44" s="521">
        <f t="shared" si="9"/>
        <v>9000000</v>
      </c>
      <c r="Q44" s="373" t="s">
        <v>523</v>
      </c>
      <c r="R44" s="522"/>
      <c r="S44" s="522"/>
      <c r="T44" s="522"/>
      <c r="U44" s="522"/>
      <c r="V44" s="350" t="s">
        <v>2</v>
      </c>
      <c r="W44" s="351">
        <v>91999904</v>
      </c>
      <c r="X44" s="352" t="s">
        <v>769</v>
      </c>
      <c r="Y44" s="352" t="s">
        <v>1460</v>
      </c>
      <c r="Z44" s="353">
        <v>3081</v>
      </c>
      <c r="AA44" s="354">
        <v>3000000</v>
      </c>
      <c r="AB44" s="352"/>
      <c r="AC44" s="355"/>
    </row>
    <row r="45" spans="1:31">
      <c r="A45" s="416" t="s">
        <v>1060</v>
      </c>
      <c r="B45" s="515"/>
      <c r="C45" s="515">
        <f>AA102</f>
        <v>8500000</v>
      </c>
      <c r="D45" s="515"/>
      <c r="E45" s="515"/>
      <c r="F45" s="515"/>
      <c r="G45" s="515"/>
      <c r="H45" s="515"/>
      <c r="I45" s="515"/>
      <c r="J45" s="515"/>
      <c r="K45" s="515"/>
      <c r="L45" s="515"/>
      <c r="M45" s="515"/>
      <c r="N45" s="515"/>
      <c r="O45" s="543"/>
      <c r="P45" s="521">
        <f t="shared" si="9"/>
        <v>8500000</v>
      </c>
      <c r="Q45" s="373" t="s">
        <v>523</v>
      </c>
      <c r="R45" s="522"/>
      <c r="S45" s="522"/>
      <c r="T45" s="522"/>
      <c r="U45" s="522"/>
      <c r="V45" s="350" t="s">
        <v>2</v>
      </c>
      <c r="W45" s="351">
        <v>91999905</v>
      </c>
      <c r="X45" s="352" t="s">
        <v>769</v>
      </c>
      <c r="Y45" s="352" t="s">
        <v>1460</v>
      </c>
      <c r="Z45" s="353">
        <v>3081</v>
      </c>
      <c r="AA45" s="354">
        <v>3000000</v>
      </c>
      <c r="AB45" s="352"/>
      <c r="AC45" s="355"/>
      <c r="AD45" s="287"/>
      <c r="AE45" s="287"/>
    </row>
    <row r="46" spans="1:31">
      <c r="A46" s="408"/>
      <c r="B46" s="443"/>
      <c r="C46" s="443"/>
      <c r="D46" s="443"/>
      <c r="E46" s="443"/>
      <c r="F46" s="443"/>
      <c r="G46" s="443"/>
      <c r="H46" s="443"/>
      <c r="I46" s="443"/>
      <c r="J46" s="443"/>
      <c r="K46" s="443"/>
      <c r="L46" s="443"/>
      <c r="M46" s="443"/>
      <c r="N46" s="443"/>
      <c r="O46" s="395"/>
      <c r="P46" s="521"/>
      <c r="Q46" s="522"/>
      <c r="R46" s="373"/>
      <c r="S46" s="373"/>
      <c r="T46" s="373"/>
      <c r="U46" s="373"/>
      <c r="V46" s="350" t="s">
        <v>2</v>
      </c>
      <c r="W46" s="351">
        <v>91999909</v>
      </c>
      <c r="X46" s="352" t="s">
        <v>769</v>
      </c>
      <c r="Y46" s="352" t="s">
        <v>1460</v>
      </c>
      <c r="Z46" s="353">
        <v>3081</v>
      </c>
      <c r="AA46" s="354">
        <v>3000000</v>
      </c>
      <c r="AB46" s="352"/>
      <c r="AC46" s="355"/>
      <c r="AD46" s="287"/>
      <c r="AE46" s="287"/>
    </row>
    <row r="47" spans="1:31">
      <c r="A47" s="510" t="s">
        <v>569</v>
      </c>
      <c r="B47" s="326"/>
      <c r="C47" s="326"/>
      <c r="D47" s="326"/>
      <c r="E47" s="334"/>
      <c r="F47" s="326"/>
      <c r="G47" s="326"/>
      <c r="H47" s="326"/>
      <c r="I47" s="326"/>
      <c r="J47" s="326"/>
      <c r="K47" s="334"/>
      <c r="L47" s="334"/>
      <c r="M47" s="334"/>
      <c r="N47" s="334"/>
      <c r="O47" s="395"/>
      <c r="P47" s="349"/>
      <c r="Q47" s="373"/>
      <c r="R47" s="373"/>
      <c r="S47" s="373"/>
      <c r="T47" s="373"/>
      <c r="U47" s="373"/>
      <c r="V47" s="350" t="s">
        <v>2</v>
      </c>
      <c r="W47" s="351">
        <v>91999910</v>
      </c>
      <c r="X47" s="352" t="s">
        <v>769</v>
      </c>
      <c r="Y47" s="352" t="s">
        <v>1460</v>
      </c>
      <c r="Z47" s="353">
        <v>3081</v>
      </c>
      <c r="AA47" s="354">
        <v>3000000</v>
      </c>
      <c r="AB47" s="352"/>
      <c r="AC47" s="355"/>
      <c r="AD47" s="287"/>
      <c r="AE47" s="287"/>
    </row>
    <row r="48" spans="1:31">
      <c r="A48" s="436" t="s">
        <v>532</v>
      </c>
      <c r="B48" s="326">
        <f t="shared" ref="B48:O48" si="15">IF(OR(B19="A",B19="B"),ROUND(2369796/365*B17,0),ROUND(ROUND(2466.55*$B$4,0)/365*B17,0))*B20*IF(B18&lt;3,0,IF(B18&lt;6,50%,100%))</f>
        <v>201270</v>
      </c>
      <c r="C48" s="326">
        <f t="shared" si="15"/>
        <v>402540</v>
      </c>
      <c r="D48" s="326">
        <f t="shared" si="15"/>
        <v>0</v>
      </c>
      <c r="E48" s="326">
        <f t="shared" si="15"/>
        <v>301905</v>
      </c>
      <c r="F48" s="326">
        <f t="shared" si="15"/>
        <v>0</v>
      </c>
      <c r="G48" s="326">
        <f t="shared" si="15"/>
        <v>0</v>
      </c>
      <c r="H48" s="326">
        <f t="shared" si="15"/>
        <v>9722330</v>
      </c>
      <c r="I48" s="326">
        <f t="shared" si="15"/>
        <v>0</v>
      </c>
      <c r="J48" s="326">
        <f t="shared" si="15"/>
        <v>0</v>
      </c>
      <c r="K48" s="326">
        <f t="shared" si="15"/>
        <v>0</v>
      </c>
      <c r="L48" s="326">
        <f t="shared" si="15"/>
        <v>0</v>
      </c>
      <c r="M48" s="326">
        <f t="shared" si="15"/>
        <v>0</v>
      </c>
      <c r="N48" s="326">
        <f t="shared" si="15"/>
        <v>0</v>
      </c>
      <c r="O48" s="394">
        <f t="shared" si="15"/>
        <v>0</v>
      </c>
      <c r="P48" s="340">
        <f>SUM(B48:O48)</f>
        <v>10628045</v>
      </c>
      <c r="Q48" s="373"/>
      <c r="R48" s="373" t="s">
        <v>591</v>
      </c>
      <c r="S48" s="373"/>
      <c r="T48" s="373"/>
      <c r="U48" s="373"/>
      <c r="V48" s="350" t="s">
        <v>2</v>
      </c>
      <c r="W48" s="351">
        <v>91999911</v>
      </c>
      <c r="X48" s="352" t="s">
        <v>769</v>
      </c>
      <c r="Y48" s="352" t="s">
        <v>1460</v>
      </c>
      <c r="Z48" s="353">
        <v>3081</v>
      </c>
      <c r="AA48" s="354">
        <v>3000000</v>
      </c>
      <c r="AB48" s="352"/>
      <c r="AC48" s="355"/>
      <c r="AD48" s="287"/>
      <c r="AE48" s="287"/>
    </row>
    <row r="49" spans="1:31">
      <c r="A49" s="405"/>
      <c r="B49" s="325"/>
      <c r="C49" s="326"/>
      <c r="D49" s="326"/>
      <c r="E49" s="334"/>
      <c r="F49" s="362"/>
      <c r="G49" s="362"/>
      <c r="H49" s="362"/>
      <c r="I49" s="362"/>
      <c r="J49" s="362"/>
      <c r="K49" s="334"/>
      <c r="L49" s="334"/>
      <c r="M49" s="334"/>
      <c r="N49" s="334"/>
      <c r="O49" s="395"/>
      <c r="P49" s="349"/>
      <c r="Q49" s="373"/>
      <c r="R49" s="373"/>
      <c r="S49" s="373"/>
      <c r="T49" s="373"/>
      <c r="U49" s="373"/>
      <c r="V49" s="350" t="s">
        <v>2</v>
      </c>
      <c r="W49" s="351">
        <v>91999912</v>
      </c>
      <c r="X49" s="352" t="s">
        <v>769</v>
      </c>
      <c r="Y49" s="352" t="s">
        <v>1460</v>
      </c>
      <c r="Z49" s="353">
        <v>3081</v>
      </c>
      <c r="AA49" s="354">
        <v>3000000</v>
      </c>
      <c r="AB49" s="352"/>
      <c r="AC49" s="355"/>
      <c r="AD49" s="287"/>
      <c r="AE49" s="287"/>
    </row>
    <row r="50" spans="1:31">
      <c r="A50" s="441" t="s">
        <v>61</v>
      </c>
      <c r="B50" s="359">
        <f t="shared" ref="B50:O50" si="16">SUM(B25:B46)</f>
        <v>22830000</v>
      </c>
      <c r="C50" s="360">
        <f t="shared" si="16"/>
        <v>28111000</v>
      </c>
      <c r="D50" s="360">
        <f t="shared" si="16"/>
        <v>14450000</v>
      </c>
      <c r="E50" s="360">
        <f t="shared" si="16"/>
        <v>34432240</v>
      </c>
      <c r="F50" s="360">
        <f t="shared" si="16"/>
        <v>23784000</v>
      </c>
      <c r="G50" s="360">
        <f t="shared" si="16"/>
        <v>74256000</v>
      </c>
      <c r="H50" s="360">
        <f t="shared" si="16"/>
        <v>80927438</v>
      </c>
      <c r="I50" s="360">
        <f t="shared" si="16"/>
        <v>73530844</v>
      </c>
      <c r="J50" s="360">
        <f t="shared" si="16"/>
        <v>51138000</v>
      </c>
      <c r="K50" s="360">
        <f t="shared" si="16"/>
        <v>30338160</v>
      </c>
      <c r="L50" s="360">
        <f t="shared" si="16"/>
        <v>25230000</v>
      </c>
      <c r="M50" s="360">
        <f t="shared" si="16"/>
        <v>26653100</v>
      </c>
      <c r="N50" s="480">
        <f t="shared" si="16"/>
        <v>33580000</v>
      </c>
      <c r="O50" s="481">
        <f t="shared" si="16"/>
        <v>4500000</v>
      </c>
      <c r="P50" s="349">
        <f>SUM(B50:O50)</f>
        <v>523760782</v>
      </c>
      <c r="Q50" s="373"/>
      <c r="R50" s="373"/>
      <c r="S50" s="373"/>
      <c r="T50" s="373"/>
      <c r="U50" s="373"/>
      <c r="V50" s="350" t="s">
        <v>2</v>
      </c>
      <c r="W50" s="351">
        <v>91999913</v>
      </c>
      <c r="X50" s="352" t="s">
        <v>769</v>
      </c>
      <c r="Y50" s="352" t="s">
        <v>1460</v>
      </c>
      <c r="Z50" s="353">
        <v>3081</v>
      </c>
      <c r="AA50" s="354">
        <v>3000000</v>
      </c>
      <c r="AB50" s="352"/>
      <c r="AC50" s="355"/>
      <c r="AD50" s="287"/>
      <c r="AE50" s="287"/>
    </row>
    <row r="51" spans="1:31">
      <c r="A51" s="411"/>
      <c r="B51" s="325"/>
      <c r="C51" s="326"/>
      <c r="D51" s="326"/>
      <c r="E51" s="334"/>
      <c r="F51" s="326"/>
      <c r="G51" s="326"/>
      <c r="H51" s="326"/>
      <c r="I51" s="326"/>
      <c r="J51" s="326"/>
      <c r="K51" s="334"/>
      <c r="L51" s="334"/>
      <c r="M51" s="334"/>
      <c r="N51" s="334"/>
      <c r="O51" s="395"/>
      <c r="P51" s="349"/>
      <c r="Q51" s="373"/>
      <c r="R51" s="373"/>
      <c r="S51" s="373"/>
      <c r="T51" s="373"/>
      <c r="U51" s="373"/>
      <c r="V51" s="350" t="s">
        <v>2</v>
      </c>
      <c r="W51" s="351">
        <v>91999901</v>
      </c>
      <c r="X51" s="352" t="s">
        <v>769</v>
      </c>
      <c r="Y51" s="352" t="s">
        <v>1460</v>
      </c>
      <c r="Z51" s="353" t="s">
        <v>949</v>
      </c>
      <c r="AA51" s="354">
        <v>3500000</v>
      </c>
      <c r="AB51" s="352"/>
      <c r="AC51" s="355"/>
      <c r="AE51" s="287"/>
    </row>
    <row r="52" spans="1:31" ht="15.6">
      <c r="A52" s="412" t="s">
        <v>60</v>
      </c>
      <c r="B52" s="363"/>
      <c r="C52" s="356"/>
      <c r="D52" s="356"/>
      <c r="E52" s="364"/>
      <c r="F52" s="356"/>
      <c r="G52" s="356"/>
      <c r="H52" s="356"/>
      <c r="I52" s="356"/>
      <c r="J52" s="356"/>
      <c r="K52" s="364"/>
      <c r="L52" s="364"/>
      <c r="M52" s="364"/>
      <c r="N52" s="364"/>
      <c r="O52" s="377"/>
      <c r="P52" s="349"/>
      <c r="Q52" s="373"/>
      <c r="R52" s="373"/>
      <c r="S52" s="373"/>
      <c r="T52" s="373"/>
      <c r="U52" s="373"/>
      <c r="V52" s="350" t="s">
        <v>2</v>
      </c>
      <c r="W52" s="351">
        <v>91999902</v>
      </c>
      <c r="X52" s="352" t="s">
        <v>769</v>
      </c>
      <c r="Y52" s="352" t="s">
        <v>1460</v>
      </c>
      <c r="Z52" s="353" t="s">
        <v>949</v>
      </c>
      <c r="AA52" s="354">
        <v>3500000</v>
      </c>
      <c r="AB52" s="352"/>
      <c r="AC52" s="355"/>
      <c r="AE52" s="287"/>
    </row>
    <row r="53" spans="1:31">
      <c r="A53" s="407" t="s">
        <v>55</v>
      </c>
      <c r="B53" s="363"/>
      <c r="C53" s="356"/>
      <c r="D53" s="356"/>
      <c r="E53" s="364"/>
      <c r="F53" s="356"/>
      <c r="G53" s="356"/>
      <c r="H53" s="356"/>
      <c r="I53" s="356"/>
      <c r="J53" s="356"/>
      <c r="K53" s="364"/>
      <c r="L53" s="364"/>
      <c r="M53" s="364"/>
      <c r="N53" s="364"/>
      <c r="O53" s="377"/>
      <c r="P53" s="349"/>
      <c r="Q53" s="373"/>
      <c r="R53" s="373"/>
      <c r="S53" s="373"/>
      <c r="T53" s="373"/>
      <c r="U53" s="373"/>
      <c r="V53" s="350" t="s">
        <v>2</v>
      </c>
      <c r="W53" s="351">
        <v>91999904</v>
      </c>
      <c r="X53" s="352" t="s">
        <v>769</v>
      </c>
      <c r="Y53" s="352" t="s">
        <v>1460</v>
      </c>
      <c r="Z53" s="353" t="s">
        <v>949</v>
      </c>
      <c r="AA53" s="354">
        <v>3500000</v>
      </c>
      <c r="AB53" s="352"/>
      <c r="AC53" s="355"/>
      <c r="AE53" s="287"/>
    </row>
    <row r="54" spans="1:31">
      <c r="A54" s="417" t="s">
        <v>573</v>
      </c>
      <c r="B54" s="326">
        <f>ROUND(MIN(B$132,29800000)*'New Hire'!C54,0)</f>
        <v>1008000</v>
      </c>
      <c r="C54" s="326">
        <f>ROUND(MIN(C$132,29800000)*'New Hire'!D54,0)</f>
        <v>832320</v>
      </c>
      <c r="D54" s="326">
        <f>ROUND(MIN(D$132,29800000)*'New Hire'!E54,0)</f>
        <v>0</v>
      </c>
      <c r="E54" s="326">
        <f>ROUND(MIN(E$132,29800000)*'New Hire'!F54,0)</f>
        <v>1160000</v>
      </c>
      <c r="F54" s="326">
        <f>ROUND(MIN(F$132,29800000)*'New Hire'!G54,0)</f>
        <v>0</v>
      </c>
      <c r="G54" s="326">
        <f>ROUND(MIN(G$132,29800000)*'New Hire'!H54,0)</f>
        <v>0</v>
      </c>
      <c r="H54" s="326">
        <f>ROUND(MIN(H$132,29800000)*'New Hire'!I54,0)</f>
        <v>0</v>
      </c>
      <c r="I54" s="326">
        <f>ROUND(MIN(I$132,29800000)*'New Hire'!J54,0)</f>
        <v>0</v>
      </c>
      <c r="J54" s="326">
        <f>ROUND(MIN(J$132,29800000)*'New Hire'!K54,0)</f>
        <v>2384000</v>
      </c>
      <c r="K54" s="326">
        <f>ROUND(MIN(K$132,29800000)*'New Hire'!L54,0)</f>
        <v>0</v>
      </c>
      <c r="L54" s="326">
        <f>ROUND(MIN(L$132,29800000)*'New Hire'!M54,0)</f>
        <v>1200000</v>
      </c>
      <c r="M54" s="326">
        <f>ROUND(MIN(M$132,29800000)*'New Hire'!N54,0)</f>
        <v>0</v>
      </c>
      <c r="N54" s="326">
        <f>ROUND(MIN(N$132,29800000)*'New Hire'!O54,0)</f>
        <v>0</v>
      </c>
      <c r="O54" s="394">
        <f>ROUND(MIN(O$132,29800000)*'New Hire'!P54,0)</f>
        <v>0</v>
      </c>
      <c r="P54" s="349">
        <f t="shared" ref="P54:P64" si="17">SUM(B54:O54)</f>
        <v>6584320</v>
      </c>
      <c r="Q54" s="373"/>
      <c r="R54" s="373"/>
      <c r="S54" s="373"/>
      <c r="T54" s="373"/>
      <c r="U54" s="373"/>
      <c r="V54" s="350" t="s">
        <v>2</v>
      </c>
      <c r="W54" s="351">
        <v>91999905</v>
      </c>
      <c r="X54" s="352" t="s">
        <v>769</v>
      </c>
      <c r="Y54" s="352" t="s">
        <v>1460</v>
      </c>
      <c r="Z54" s="353" t="s">
        <v>949</v>
      </c>
      <c r="AA54" s="354">
        <v>3500000</v>
      </c>
      <c r="AB54" s="352"/>
      <c r="AC54" s="355"/>
      <c r="AE54" s="287"/>
    </row>
    <row r="55" spans="1:31">
      <c r="A55" s="513" t="s">
        <v>1451</v>
      </c>
      <c r="B55" s="431">
        <f>IF(B15&lt;'UAT9-Sep'!B16/2,0,'UAT9-Sep'!B49)-'UAT9-Sep'!B49</f>
        <v>0</v>
      </c>
      <c r="C55" s="431">
        <f>IF(C15&lt;'UAT9-Sep'!C16/2,0,'UAT9-Sep'!C49)-'UAT9-Sep'!C49</f>
        <v>0</v>
      </c>
      <c r="D55" s="431">
        <f>IF(D15&lt;'UAT9-Sep'!D16/2,0,'UAT9-Sep'!D49)-'UAT9-Sep'!D49</f>
        <v>0</v>
      </c>
      <c r="E55" s="431">
        <f>IF(E15&lt;'UAT9-Sep'!E16/2,0,'UAT9-Sep'!E49)-'UAT9-Sep'!E49</f>
        <v>-1160000</v>
      </c>
      <c r="F55" s="431">
        <f>IF(F15&lt;'UAT9-Sep'!F16/2,0,'UAT9-Sep'!F49)-'UAT9-Sep'!F49</f>
        <v>0</v>
      </c>
      <c r="G55" s="431">
        <f>IF(G15&lt;'UAT9-Sep'!G16/2,0,'UAT9-Sep'!G49)-'UAT9-Sep'!G49</f>
        <v>0</v>
      </c>
      <c r="H55" s="431">
        <f>IF(H15&lt;'UAT9-Sep'!H16/2,0,'UAT9-Sep'!H49)-'UAT9-Sep'!H49</f>
        <v>0</v>
      </c>
      <c r="I55" s="431">
        <f>IF(I15&lt;'UAT9-Sep'!I16/2,0,'UAT9-Sep'!I49)-'UAT9-Sep'!I49</f>
        <v>0</v>
      </c>
      <c r="J55" s="431">
        <f>IF(J15&lt;'UAT9-Sep'!J16/2,0,'UAT9-Sep'!J49)-'UAT9-Sep'!J49</f>
        <v>0</v>
      </c>
      <c r="K55" s="431">
        <f>IF(K15&lt;'UAT9-Sep'!K16/2,0,'UAT9-Sep'!K49)-'UAT9-Sep'!K49</f>
        <v>0</v>
      </c>
      <c r="L55" s="431">
        <f>IF(L15&lt;'UAT9-Sep'!L16/2,0,'UAT9-Sep'!L49)-'UAT9-Sep'!L49</f>
        <v>0</v>
      </c>
      <c r="M55" s="431">
        <f>IF(M15&lt;'UAT9-Sep'!M16/2,0,'UAT9-Sep'!M49)-'UAT9-Sep'!M49</f>
        <v>0</v>
      </c>
      <c r="N55" s="431">
        <f>IF(N15&lt;'UAT9-Sep'!N16/2,0,'UAT9-Sep'!N49)-'UAT9-Sep'!N49</f>
        <v>0</v>
      </c>
      <c r="O55" s="431">
        <f>IF(O15&lt;'UAT9-Sep'!O16/2,0,'UAT9-Sep'!O49)-'UAT9-Sep'!O49</f>
        <v>0</v>
      </c>
      <c r="P55" s="453">
        <f t="shared" si="17"/>
        <v>-1160000</v>
      </c>
      <c r="Q55" s="373"/>
      <c r="R55" s="373"/>
      <c r="S55" s="373"/>
      <c r="T55" s="373"/>
      <c r="U55" s="373"/>
      <c r="V55" s="350" t="s">
        <v>2</v>
      </c>
      <c r="W55" s="351">
        <v>91999907</v>
      </c>
      <c r="X55" s="352" t="s">
        <v>769</v>
      </c>
      <c r="Y55" s="352" t="s">
        <v>1460</v>
      </c>
      <c r="Z55" s="353" t="s">
        <v>949</v>
      </c>
      <c r="AA55" s="354">
        <v>200</v>
      </c>
      <c r="AB55" s="352" t="s">
        <v>1329</v>
      </c>
      <c r="AC55" s="355"/>
      <c r="AE55" s="287"/>
    </row>
    <row r="56" spans="1:31">
      <c r="A56" s="436" t="s">
        <v>574</v>
      </c>
      <c r="B56" s="326">
        <f>ROUND(MIN(B133,83600000)*'New Hire'!C57,0)</f>
        <v>126000</v>
      </c>
      <c r="C56" s="326">
        <f>ROUND(MIN(C133,83600000)*'New Hire'!D57,0)</f>
        <v>104040</v>
      </c>
      <c r="D56" s="326">
        <f>ROUND(MIN(D133,83600000)*'New Hire'!E57,0)</f>
        <v>144500</v>
      </c>
      <c r="E56" s="326">
        <f>ROUND(MIN(E133,83600000)*'New Hire'!F57,0)</f>
        <v>145000</v>
      </c>
      <c r="F56" s="326">
        <f>ROUND(MIN(F133,83600000)*'New Hire'!G57,0)</f>
        <v>0</v>
      </c>
      <c r="G56" s="326">
        <f>ROUND(MIN(G133,83600000)*'New Hire'!H57,0)</f>
        <v>0</v>
      </c>
      <c r="H56" s="326">
        <f>ROUND(MIN(H133,83600000)*'New Hire'!I57,0)</f>
        <v>0</v>
      </c>
      <c r="I56" s="326">
        <f>ROUND(MIN(I133,83600000)*'New Hire'!J57,0)</f>
        <v>0</v>
      </c>
      <c r="J56" s="326">
        <f>ROUND(MIN(J133,83600000)*'New Hire'!K57,0)</f>
        <v>450000</v>
      </c>
      <c r="K56" s="326">
        <f>ROUND(MIN(K133,83600000)*'New Hire'!L57,0)</f>
        <v>0</v>
      </c>
      <c r="L56" s="326">
        <f>ROUND(MIN(L133,83600000)*'New Hire'!M57,0)</f>
        <v>150000</v>
      </c>
      <c r="M56" s="326">
        <f>ROUND(MIN(M133,83600000)*'New Hire'!N57,0)</f>
        <v>0</v>
      </c>
      <c r="N56" s="326">
        <f>ROUND(MIN(N133,83600000)*'New Hire'!O57,0)</f>
        <v>0</v>
      </c>
      <c r="O56" s="326">
        <f>ROUND(MIN(O133,83600000)*'New Hire'!P57,0)</f>
        <v>0</v>
      </c>
      <c r="P56" s="349">
        <f t="shared" si="17"/>
        <v>1119540</v>
      </c>
      <c r="Q56" s="373"/>
      <c r="R56" s="373"/>
      <c r="S56" s="373"/>
      <c r="T56" s="373"/>
      <c r="U56" s="373"/>
      <c r="V56" s="350" t="s">
        <v>2</v>
      </c>
      <c r="W56" s="351">
        <v>91999908</v>
      </c>
      <c r="X56" s="352" t="s">
        <v>769</v>
      </c>
      <c r="Y56" s="352" t="s">
        <v>1460</v>
      </c>
      <c r="Z56" s="353" t="s">
        <v>949</v>
      </c>
      <c r="AA56" s="354">
        <v>200</v>
      </c>
      <c r="AB56" s="352" t="s">
        <v>1329</v>
      </c>
      <c r="AC56" s="355"/>
      <c r="AE56" s="287"/>
    </row>
    <row r="57" spans="1:31">
      <c r="A57" s="452" t="s">
        <v>1452</v>
      </c>
      <c r="B57" s="431">
        <f>IF(B15&lt;'UAT9-Sep'!B16/2,0,'UAT9-Sep'!B51)-'UAT9-Sep'!B51</f>
        <v>0</v>
      </c>
      <c r="C57" s="431">
        <f>IF(C15&lt;'UAT9-Sep'!C16/2,0,'UAT9-Sep'!C51)-'UAT9-Sep'!C51</f>
        <v>0</v>
      </c>
      <c r="D57" s="431">
        <f>IF(D15&lt;'UAT9-Sep'!D16/2,0,'UAT9-Sep'!D51)-'UAT9-Sep'!D51</f>
        <v>0</v>
      </c>
      <c r="E57" s="431">
        <f>IF(E15&lt;'UAT9-Sep'!E16/2,0,'UAT9-Sep'!E51)-'UAT9-Sep'!E51</f>
        <v>-145000</v>
      </c>
      <c r="F57" s="431">
        <f>IF(F15&lt;'UAT9-Sep'!F16/2,0,'UAT9-Sep'!F51)-'UAT9-Sep'!F51</f>
        <v>0</v>
      </c>
      <c r="G57" s="431">
        <f>IF(G15&lt;'UAT9-Sep'!G16/2,0,'UAT9-Sep'!G51)-'UAT9-Sep'!G51</f>
        <v>0</v>
      </c>
      <c r="H57" s="431">
        <f>IF(H15&lt;'UAT9-Sep'!H16/2,0,'UAT9-Sep'!H51)-'UAT9-Sep'!H51</f>
        <v>0</v>
      </c>
      <c r="I57" s="431">
        <f>IF(I15&lt;'UAT9-Sep'!I16/2,0,'UAT9-Sep'!I51)-'UAT9-Sep'!I51</f>
        <v>0</v>
      </c>
      <c r="J57" s="431">
        <f>IF(J15&lt;'UAT9-Sep'!J16/2,0,'UAT9-Sep'!J51)-'UAT9-Sep'!J51</f>
        <v>0</v>
      </c>
      <c r="K57" s="431">
        <f>IF(K15&lt;'UAT9-Sep'!K16/2,0,'UAT9-Sep'!K51)-'UAT9-Sep'!K51</f>
        <v>0</v>
      </c>
      <c r="L57" s="431">
        <f>IF(L15&lt;'UAT9-Sep'!L16/2,0,'UAT9-Sep'!L51)-'UAT9-Sep'!L51</f>
        <v>0</v>
      </c>
      <c r="M57" s="431">
        <f>IF(M15&lt;'UAT9-Sep'!M16/2,0,'UAT9-Sep'!M51)-'UAT9-Sep'!M51</f>
        <v>0</v>
      </c>
      <c r="N57" s="431">
        <f>IF(N15&lt;'UAT9-Sep'!N16/2,0,'UAT9-Sep'!N51)-'UAT9-Sep'!N51</f>
        <v>0</v>
      </c>
      <c r="O57" s="431">
        <f>IF(O15&lt;'UAT9-Sep'!O16/2,0,'UAT9-Sep'!O51)-'UAT9-Sep'!O51</f>
        <v>0</v>
      </c>
      <c r="P57" s="453">
        <f t="shared" si="17"/>
        <v>-145000</v>
      </c>
      <c r="Q57" s="373"/>
      <c r="R57" s="373"/>
      <c r="S57" s="373"/>
      <c r="T57" s="373"/>
      <c r="U57" s="373"/>
      <c r="V57" s="350" t="s">
        <v>2</v>
      </c>
      <c r="W57" s="351">
        <v>91999909</v>
      </c>
      <c r="X57" s="352" t="s">
        <v>769</v>
      </c>
      <c r="Y57" s="352" t="s">
        <v>1460</v>
      </c>
      <c r="Z57" s="353" t="s">
        <v>949</v>
      </c>
      <c r="AA57" s="354">
        <v>3500000</v>
      </c>
      <c r="AB57" s="352"/>
      <c r="AC57" s="355"/>
      <c r="AD57" s="287"/>
      <c r="AE57" s="287"/>
    </row>
    <row r="58" spans="1:31">
      <c r="A58" s="436" t="s">
        <v>575</v>
      </c>
      <c r="B58" s="326">
        <f>ROUND(MIN(B$132,29800000)*'New Hire'!C60,0)</f>
        <v>189000</v>
      </c>
      <c r="C58" s="326">
        <f>ROUND(MIN(C$132,29800000)*'New Hire'!D60,0)</f>
        <v>156060</v>
      </c>
      <c r="D58" s="326">
        <f>ROUND(MIN(D$132,29800000)*'New Hire'!E60,0)</f>
        <v>216750</v>
      </c>
      <c r="E58" s="326">
        <f>ROUND(MIN(E$132,29800000)*'New Hire'!F60,0)</f>
        <v>217500</v>
      </c>
      <c r="F58" s="326">
        <f>ROUND(MIN(F$132,29800000)*'New Hire'!G60,0)</f>
        <v>0</v>
      </c>
      <c r="G58" s="326">
        <f>ROUND(MIN(G$132,29800000)*'New Hire'!H60,0)</f>
        <v>447000</v>
      </c>
      <c r="H58" s="326">
        <f>ROUND(MIN(H$132,29800000)*'New Hire'!I60,0)</f>
        <v>447000</v>
      </c>
      <c r="I58" s="326">
        <f>ROUND(MIN(I$132,29800000)*'New Hire'!J60,0)</f>
        <v>447000</v>
      </c>
      <c r="J58" s="326">
        <f>ROUND(MIN(J$132,29800000)*'New Hire'!K60,0)</f>
        <v>447000</v>
      </c>
      <c r="K58" s="326">
        <f>ROUND(MIN(K$132,29800000)*'New Hire'!L60,0)</f>
        <v>0</v>
      </c>
      <c r="L58" s="326">
        <f>ROUND(MIN(L$132,29800000)*'New Hire'!M60,0)</f>
        <v>225000</v>
      </c>
      <c r="M58" s="326">
        <f>ROUND(MIN(M$132,29800000)*'New Hire'!N60,0)</f>
        <v>0</v>
      </c>
      <c r="N58" s="326">
        <f>ROUND(MIN(N$132,29800000)*'New Hire'!O60,0)</f>
        <v>0</v>
      </c>
      <c r="O58" s="394">
        <f>ROUND(MIN(O$132,29800000)*'New Hire'!P60,0)</f>
        <v>0</v>
      </c>
      <c r="P58" s="349">
        <f t="shared" si="17"/>
        <v>2792310</v>
      </c>
      <c r="Q58" s="373"/>
      <c r="R58" s="373"/>
      <c r="S58" s="373"/>
      <c r="T58" s="373"/>
      <c r="U58" s="373"/>
      <c r="V58" s="350" t="s">
        <v>2</v>
      </c>
      <c r="W58" s="351">
        <v>91999910</v>
      </c>
      <c r="X58" s="352" t="s">
        <v>769</v>
      </c>
      <c r="Y58" s="352" t="s">
        <v>1460</v>
      </c>
      <c r="Z58" s="353" t="s">
        <v>949</v>
      </c>
      <c r="AA58" s="354">
        <v>3500000</v>
      </c>
      <c r="AB58" s="438"/>
      <c r="AC58" s="439"/>
      <c r="AD58" s="287"/>
      <c r="AE58" s="287"/>
    </row>
    <row r="59" spans="1:31">
      <c r="A59" s="452" t="s">
        <v>1453</v>
      </c>
      <c r="B59" s="431">
        <f>IF(B15&lt;'UAT9-Sep'!B16/2,0,'UAT9-Sep'!B53)-'UAT9-Sep'!B53</f>
        <v>0</v>
      </c>
      <c r="C59" s="431">
        <f>IF(C15&lt;'UAT9-Sep'!C16/2,0,'UAT9-Sep'!C53)-'UAT9-Sep'!C53</f>
        <v>0</v>
      </c>
      <c r="D59" s="431">
        <f>IF(D15&lt;'UAT9-Sep'!D16/2,0,'UAT9-Sep'!D53)-'UAT9-Sep'!D53</f>
        <v>0</v>
      </c>
      <c r="E59" s="431">
        <f>IF(E15&lt;'UAT9-Sep'!E16/2,0,'UAT9-Sep'!E53)-'UAT9-Sep'!E53</f>
        <v>-217500</v>
      </c>
      <c r="F59" s="431">
        <f>IF(F15&lt;'UAT9-Sep'!F16/2,0,'UAT9-Sep'!F53)-'UAT9-Sep'!F53</f>
        <v>0</v>
      </c>
      <c r="G59" s="431">
        <f>IF(G15&lt;'UAT9-Sep'!G16/2,0,'UAT9-Sep'!G53)-'UAT9-Sep'!G53</f>
        <v>0</v>
      </c>
      <c r="H59" s="431">
        <f>IF(H15&lt;'UAT9-Sep'!H16/2,0,'UAT9-Sep'!H53)-'UAT9-Sep'!H53</f>
        <v>-447000</v>
      </c>
      <c r="I59" s="431">
        <f>IF(I15&lt;'UAT9-Sep'!I16/2,0,'UAT9-Sep'!I53)-'UAT9-Sep'!I53</f>
        <v>0</v>
      </c>
      <c r="J59" s="431">
        <f>IF(J15&lt;'UAT9-Sep'!J16/2,0,'UAT9-Sep'!J53)-'UAT9-Sep'!J53</f>
        <v>0</v>
      </c>
      <c r="K59" s="431">
        <f>IF(K15&lt;'UAT9-Sep'!K16/2,0,'UAT9-Sep'!K53)-'UAT9-Sep'!K53</f>
        <v>0</v>
      </c>
      <c r="L59" s="431">
        <f>IF(L15&lt;'UAT9-Sep'!L16/2,0,'UAT9-Sep'!L53)-'UAT9-Sep'!L53</f>
        <v>0</v>
      </c>
      <c r="M59" s="431">
        <f>IF(M15&lt;'UAT9-Sep'!M16/2,0,'UAT9-Sep'!M53)-'UAT9-Sep'!M53</f>
        <v>0</v>
      </c>
      <c r="N59" s="431">
        <f>IF(N15&lt;'UAT9-Sep'!N16/2,0,'UAT9-Sep'!N53)-'UAT9-Sep'!N53</f>
        <v>0</v>
      </c>
      <c r="O59" s="431">
        <f>IF(O15&lt;'UAT9-Sep'!O16/2,0,'UAT9-Sep'!O53)-'UAT9-Sep'!O53</f>
        <v>0</v>
      </c>
      <c r="P59" s="453">
        <f t="shared" si="17"/>
        <v>-664500</v>
      </c>
      <c r="Q59" s="373"/>
      <c r="R59" s="373"/>
      <c r="S59" s="373"/>
      <c r="T59" s="373"/>
      <c r="U59" s="373"/>
      <c r="V59" s="350" t="s">
        <v>2</v>
      </c>
      <c r="W59" s="351">
        <v>91999911</v>
      </c>
      <c r="X59" s="352" t="s">
        <v>769</v>
      </c>
      <c r="Y59" s="352" t="s">
        <v>1460</v>
      </c>
      <c r="Z59" s="353" t="s">
        <v>949</v>
      </c>
      <c r="AA59" s="354">
        <v>3500000</v>
      </c>
      <c r="AB59" s="438"/>
      <c r="AC59" s="439"/>
      <c r="AD59" s="287"/>
      <c r="AE59" s="287"/>
    </row>
    <row r="60" spans="1:31">
      <c r="A60" s="405" t="s">
        <v>111</v>
      </c>
      <c r="B60" s="325">
        <f t="shared" ref="B60:O60" si="18">B139</f>
        <v>337827</v>
      </c>
      <c r="C60" s="326">
        <f t="shared" si="18"/>
        <v>0</v>
      </c>
      <c r="D60" s="326">
        <f t="shared" si="18"/>
        <v>258875</v>
      </c>
      <c r="E60" s="326">
        <f t="shared" si="18"/>
        <v>0</v>
      </c>
      <c r="F60" s="326">
        <f t="shared" si="18"/>
        <v>2120000</v>
      </c>
      <c r="G60" s="326">
        <f t="shared" si="18"/>
        <v>13592700</v>
      </c>
      <c r="H60" s="326">
        <f t="shared" si="18"/>
        <v>6457954</v>
      </c>
      <c r="I60" s="326">
        <f t="shared" si="18"/>
        <v>14706169</v>
      </c>
      <c r="J60" s="326">
        <f t="shared" si="18"/>
        <v>5979750</v>
      </c>
      <c r="K60" s="326">
        <f t="shared" si="18"/>
        <v>766224</v>
      </c>
      <c r="L60" s="326">
        <f t="shared" si="18"/>
        <v>963750</v>
      </c>
      <c r="M60" s="326">
        <f t="shared" si="18"/>
        <v>1231733</v>
      </c>
      <c r="N60" s="326">
        <f t="shared" si="18"/>
        <v>1102500</v>
      </c>
      <c r="O60" s="394">
        <f t="shared" si="18"/>
        <v>450000</v>
      </c>
      <c r="P60" s="349">
        <f t="shared" si="17"/>
        <v>47967482</v>
      </c>
      <c r="Q60" s="373"/>
      <c r="R60" s="373"/>
      <c r="S60" s="341"/>
      <c r="T60" s="341"/>
      <c r="U60" s="341"/>
      <c r="V60" s="350" t="s">
        <v>2</v>
      </c>
      <c r="W60" s="351">
        <v>91999912</v>
      </c>
      <c r="X60" s="352" t="s">
        <v>769</v>
      </c>
      <c r="Y60" s="352" t="s">
        <v>1460</v>
      </c>
      <c r="Z60" s="353" t="s">
        <v>949</v>
      </c>
      <c r="AA60" s="354">
        <v>3500000</v>
      </c>
      <c r="AB60" s="438"/>
      <c r="AC60" s="439"/>
      <c r="AD60" s="287"/>
      <c r="AE60" s="287"/>
    </row>
    <row r="61" spans="1:31">
      <c r="A61" s="436" t="s">
        <v>512</v>
      </c>
      <c r="B61" s="326">
        <f t="shared" ref="B61:O61" si="19">B127-B78</f>
        <v>0</v>
      </c>
      <c r="C61" s="326">
        <f t="shared" si="19"/>
        <v>0</v>
      </c>
      <c r="D61" s="326">
        <f t="shared" si="19"/>
        <v>0</v>
      </c>
      <c r="E61" s="326">
        <f t="shared" si="19"/>
        <v>0</v>
      </c>
      <c r="F61" s="326">
        <f t="shared" si="19"/>
        <v>0</v>
      </c>
      <c r="G61" s="326">
        <f t="shared" si="19"/>
        <v>0</v>
      </c>
      <c r="H61" s="326">
        <f t="shared" si="19"/>
        <v>676055</v>
      </c>
      <c r="I61" s="326">
        <f t="shared" si="19"/>
        <v>0</v>
      </c>
      <c r="J61" s="326">
        <f t="shared" si="19"/>
        <v>0</v>
      </c>
      <c r="K61" s="326">
        <f t="shared" si="19"/>
        <v>0</v>
      </c>
      <c r="L61" s="326">
        <f t="shared" si="19"/>
        <v>0</v>
      </c>
      <c r="M61" s="326">
        <f t="shared" si="19"/>
        <v>0</v>
      </c>
      <c r="N61" s="326">
        <f t="shared" si="19"/>
        <v>0</v>
      </c>
      <c r="O61" s="394">
        <f t="shared" si="19"/>
        <v>0</v>
      </c>
      <c r="P61" s="349">
        <f t="shared" si="17"/>
        <v>676055</v>
      </c>
      <c r="R61" s="341"/>
      <c r="S61" s="341"/>
      <c r="T61" s="341"/>
      <c r="U61" s="341"/>
      <c r="V61" s="350" t="s">
        <v>2</v>
      </c>
      <c r="W61" s="351">
        <v>91999913</v>
      </c>
      <c r="X61" s="352" t="s">
        <v>769</v>
      </c>
      <c r="Y61" s="352" t="s">
        <v>1460</v>
      </c>
      <c r="Z61" s="353" t="s">
        <v>949</v>
      </c>
      <c r="AA61" s="354">
        <v>3500000</v>
      </c>
      <c r="AB61" s="438"/>
      <c r="AC61" s="439"/>
      <c r="AD61" s="287"/>
      <c r="AE61" s="287"/>
    </row>
    <row r="62" spans="1:31">
      <c r="A62" s="436" t="s">
        <v>533</v>
      </c>
      <c r="B62" s="326">
        <f t="shared" ref="B62:O62" si="20">B48</f>
        <v>201270</v>
      </c>
      <c r="C62" s="326">
        <f t="shared" si="20"/>
        <v>402540</v>
      </c>
      <c r="D62" s="326">
        <f t="shared" si="20"/>
        <v>0</v>
      </c>
      <c r="E62" s="326">
        <f t="shared" si="20"/>
        <v>301905</v>
      </c>
      <c r="F62" s="326">
        <f t="shared" si="20"/>
        <v>0</v>
      </c>
      <c r="G62" s="326">
        <f t="shared" si="20"/>
        <v>0</v>
      </c>
      <c r="H62" s="326">
        <f t="shared" si="20"/>
        <v>9722330</v>
      </c>
      <c r="I62" s="326">
        <f t="shared" si="20"/>
        <v>0</v>
      </c>
      <c r="J62" s="326">
        <f t="shared" si="20"/>
        <v>0</v>
      </c>
      <c r="K62" s="326">
        <f t="shared" si="20"/>
        <v>0</v>
      </c>
      <c r="L62" s="326">
        <f t="shared" si="20"/>
        <v>0</v>
      </c>
      <c r="M62" s="326">
        <f t="shared" si="20"/>
        <v>0</v>
      </c>
      <c r="N62" s="326">
        <f t="shared" si="20"/>
        <v>0</v>
      </c>
      <c r="O62" s="394">
        <f t="shared" si="20"/>
        <v>0</v>
      </c>
      <c r="P62" s="340">
        <f t="shared" si="17"/>
        <v>10628045</v>
      </c>
      <c r="Q62" s="373"/>
      <c r="R62" s="373"/>
      <c r="S62" s="373"/>
      <c r="T62" s="373"/>
      <c r="U62" s="373"/>
      <c r="V62" s="350" t="s">
        <v>2</v>
      </c>
      <c r="W62" s="351">
        <v>91999901</v>
      </c>
      <c r="X62" s="352" t="s">
        <v>769</v>
      </c>
      <c r="Y62" s="352" t="s">
        <v>1460</v>
      </c>
      <c r="Z62" s="353">
        <v>3210</v>
      </c>
      <c r="AA62" s="354">
        <v>4000000</v>
      </c>
      <c r="AB62" s="352"/>
      <c r="AC62" s="355"/>
    </row>
    <row r="63" spans="1:31">
      <c r="A63" s="436" t="s">
        <v>536</v>
      </c>
      <c r="B63" s="326"/>
      <c r="C63" s="326"/>
      <c r="D63" s="326"/>
      <c r="E63" s="326"/>
      <c r="F63" s="326"/>
      <c r="G63" s="326"/>
      <c r="H63" s="326">
        <f t="shared" ref="H63:O63" si="21">H128</f>
        <v>594521</v>
      </c>
      <c r="I63" s="326">
        <f t="shared" si="21"/>
        <v>0</v>
      </c>
      <c r="J63" s="326">
        <f t="shared" si="21"/>
        <v>0</v>
      </c>
      <c r="K63" s="326">
        <f t="shared" si="21"/>
        <v>0</v>
      </c>
      <c r="L63" s="326">
        <f t="shared" si="21"/>
        <v>0</v>
      </c>
      <c r="M63" s="326">
        <f t="shared" si="21"/>
        <v>0</v>
      </c>
      <c r="N63" s="326">
        <f t="shared" si="21"/>
        <v>0</v>
      </c>
      <c r="O63" s="326">
        <f t="shared" si="21"/>
        <v>0</v>
      </c>
      <c r="P63" s="349">
        <f t="shared" si="17"/>
        <v>594521</v>
      </c>
      <c r="Q63" s="373"/>
      <c r="R63" s="373"/>
      <c r="S63" s="373"/>
      <c r="T63" s="373"/>
      <c r="U63" s="373"/>
      <c r="V63" s="350" t="s">
        <v>2</v>
      </c>
      <c r="W63" s="351">
        <v>91999902</v>
      </c>
      <c r="X63" s="352" t="s">
        <v>769</v>
      </c>
      <c r="Y63" s="352" t="s">
        <v>1460</v>
      </c>
      <c r="Z63" s="353">
        <v>3210</v>
      </c>
      <c r="AA63" s="354">
        <v>4000000</v>
      </c>
      <c r="AB63" s="352"/>
      <c r="AC63" s="355"/>
    </row>
    <row r="64" spans="1:31">
      <c r="A64" s="436" t="s">
        <v>537</v>
      </c>
      <c r="B64" s="326"/>
      <c r="C64" s="326"/>
      <c r="D64" s="326"/>
      <c r="E64" s="326"/>
      <c r="F64" s="326"/>
      <c r="G64" s="326"/>
      <c r="H64" s="326">
        <f t="shared" ref="H64:O64" si="22">IF(OR(H19="A",H19="B"),0,ROUND(ROUND(297.1*$B$4,0)/365*H17,0))*H20</f>
        <v>1171070</v>
      </c>
      <c r="I64" s="326">
        <f t="shared" si="22"/>
        <v>0</v>
      </c>
      <c r="J64" s="326">
        <f t="shared" si="22"/>
        <v>0</v>
      </c>
      <c r="K64" s="326">
        <f t="shared" si="22"/>
        <v>0</v>
      </c>
      <c r="L64" s="326">
        <f t="shared" si="22"/>
        <v>0</v>
      </c>
      <c r="M64" s="326">
        <f t="shared" si="22"/>
        <v>0</v>
      </c>
      <c r="N64" s="326">
        <f t="shared" si="22"/>
        <v>0</v>
      </c>
      <c r="O64" s="326">
        <f t="shared" si="22"/>
        <v>0</v>
      </c>
      <c r="P64" s="340">
        <f t="shared" si="17"/>
        <v>1171070</v>
      </c>
      <c r="Q64" s="373"/>
      <c r="R64" s="373"/>
      <c r="S64" s="373"/>
      <c r="T64" s="373"/>
      <c r="U64" s="373"/>
      <c r="V64" s="350" t="s">
        <v>2</v>
      </c>
      <c r="W64" s="351">
        <v>91999904</v>
      </c>
      <c r="X64" s="352" t="s">
        <v>769</v>
      </c>
      <c r="Y64" s="352" t="s">
        <v>1460</v>
      </c>
      <c r="Z64" s="353">
        <v>3210</v>
      </c>
      <c r="AA64" s="354">
        <v>4000000</v>
      </c>
      <c r="AB64" s="352"/>
      <c r="AC64" s="355"/>
      <c r="AD64" s="287"/>
    </row>
    <row r="65" spans="1:31">
      <c r="A65" s="405"/>
      <c r="B65" s="365"/>
      <c r="C65" s="366"/>
      <c r="D65" s="366"/>
      <c r="E65" s="367"/>
      <c r="F65" s="366"/>
      <c r="G65" s="366"/>
      <c r="H65" s="366"/>
      <c r="I65" s="366"/>
      <c r="J65" s="366"/>
      <c r="K65" s="367"/>
      <c r="L65" s="367"/>
      <c r="M65" s="367"/>
      <c r="N65" s="367"/>
      <c r="O65" s="397"/>
      <c r="P65" s="349"/>
      <c r="Q65" s="373"/>
      <c r="R65" s="373"/>
      <c r="S65" s="373"/>
      <c r="T65" s="373"/>
      <c r="U65" s="373"/>
      <c r="V65" s="350" t="s">
        <v>2</v>
      </c>
      <c r="W65" s="351">
        <v>91999905</v>
      </c>
      <c r="X65" s="352" t="s">
        <v>769</v>
      </c>
      <c r="Y65" s="352" t="s">
        <v>1460</v>
      </c>
      <c r="Z65" s="353">
        <v>3210</v>
      </c>
      <c r="AA65" s="354">
        <v>4000000</v>
      </c>
      <c r="AB65" s="352"/>
      <c r="AC65" s="355"/>
    </row>
    <row r="66" spans="1:31">
      <c r="A66" s="413" t="s">
        <v>4</v>
      </c>
      <c r="B66" s="359">
        <f t="shared" ref="B66:O66" si="23">SUM(B54:B65)</f>
        <v>1862097</v>
      </c>
      <c r="C66" s="360">
        <f t="shared" si="23"/>
        <v>1494960</v>
      </c>
      <c r="D66" s="360">
        <f t="shared" si="23"/>
        <v>620125</v>
      </c>
      <c r="E66" s="360">
        <f t="shared" si="23"/>
        <v>301905</v>
      </c>
      <c r="F66" s="360">
        <f t="shared" si="23"/>
        <v>2120000</v>
      </c>
      <c r="G66" s="360">
        <f t="shared" si="23"/>
        <v>14039700</v>
      </c>
      <c r="H66" s="360">
        <f t="shared" si="23"/>
        <v>18621930</v>
      </c>
      <c r="I66" s="360">
        <f t="shared" si="23"/>
        <v>15153169</v>
      </c>
      <c r="J66" s="360">
        <f t="shared" si="23"/>
        <v>9260750</v>
      </c>
      <c r="K66" s="360">
        <f t="shared" si="23"/>
        <v>766224</v>
      </c>
      <c r="L66" s="360">
        <f t="shared" si="23"/>
        <v>2538750</v>
      </c>
      <c r="M66" s="360">
        <f t="shared" si="23"/>
        <v>1231733</v>
      </c>
      <c r="N66" s="480">
        <f t="shared" si="23"/>
        <v>1102500</v>
      </c>
      <c r="O66" s="481">
        <f t="shared" si="23"/>
        <v>450000</v>
      </c>
      <c r="P66" s="349">
        <f>SUM(B66:O66)</f>
        <v>69563843</v>
      </c>
      <c r="Q66" s="373"/>
      <c r="R66" s="373"/>
      <c r="S66" s="373"/>
      <c r="T66" s="373"/>
      <c r="U66" s="373"/>
      <c r="V66" s="350" t="s">
        <v>2</v>
      </c>
      <c r="W66" s="351">
        <v>91999907</v>
      </c>
      <c r="X66" s="352" t="s">
        <v>769</v>
      </c>
      <c r="Y66" s="352" t="s">
        <v>1460</v>
      </c>
      <c r="Z66" s="353">
        <v>3210</v>
      </c>
      <c r="AA66" s="354">
        <v>225</v>
      </c>
      <c r="AB66" s="352" t="s">
        <v>1329</v>
      </c>
      <c r="AC66" s="355"/>
      <c r="AD66" s="287"/>
    </row>
    <row r="67" spans="1:31">
      <c r="A67" s="414"/>
      <c r="B67" s="325"/>
      <c r="C67" s="326"/>
      <c r="D67" s="326"/>
      <c r="E67" s="334"/>
      <c r="F67" s="326"/>
      <c r="G67" s="326"/>
      <c r="H67" s="326"/>
      <c r="I67" s="326"/>
      <c r="J67" s="326"/>
      <c r="K67" s="334"/>
      <c r="L67" s="334"/>
      <c r="M67" s="334"/>
      <c r="N67" s="334"/>
      <c r="O67" s="395"/>
      <c r="P67" s="349"/>
      <c r="Q67" s="373"/>
      <c r="R67" s="373"/>
      <c r="S67" s="373"/>
      <c r="T67" s="373"/>
      <c r="U67" s="373"/>
      <c r="V67" s="350" t="s">
        <v>2</v>
      </c>
      <c r="W67" s="351">
        <v>91999908</v>
      </c>
      <c r="X67" s="352" t="s">
        <v>769</v>
      </c>
      <c r="Y67" s="352" t="s">
        <v>1460</v>
      </c>
      <c r="Z67" s="353">
        <v>3210</v>
      </c>
      <c r="AA67" s="354">
        <v>225</v>
      </c>
      <c r="AB67" s="352" t="s">
        <v>1329</v>
      </c>
      <c r="AC67" s="355"/>
      <c r="AD67" s="287"/>
    </row>
    <row r="68" spans="1:31" ht="14.4" thickBot="1">
      <c r="A68" s="441" t="s">
        <v>5</v>
      </c>
      <c r="B68" s="328">
        <f t="shared" ref="B68:O68" si="24">MAX(B50-B66,0)</f>
        <v>20967903</v>
      </c>
      <c r="C68" s="328">
        <f t="shared" si="24"/>
        <v>26616040</v>
      </c>
      <c r="D68" s="328">
        <f t="shared" si="24"/>
        <v>13829875</v>
      </c>
      <c r="E68" s="328">
        <f t="shared" si="24"/>
        <v>34130335</v>
      </c>
      <c r="F68" s="328">
        <f t="shared" si="24"/>
        <v>21664000</v>
      </c>
      <c r="G68" s="328">
        <f t="shared" si="24"/>
        <v>60216300</v>
      </c>
      <c r="H68" s="328">
        <f t="shared" si="24"/>
        <v>62305508</v>
      </c>
      <c r="I68" s="328">
        <f t="shared" si="24"/>
        <v>58377675</v>
      </c>
      <c r="J68" s="328">
        <f t="shared" si="24"/>
        <v>41877250</v>
      </c>
      <c r="K68" s="328">
        <f t="shared" si="24"/>
        <v>29571936</v>
      </c>
      <c r="L68" s="328">
        <f t="shared" si="24"/>
        <v>22691250</v>
      </c>
      <c r="M68" s="328">
        <f t="shared" si="24"/>
        <v>25421367</v>
      </c>
      <c r="N68" s="328">
        <f t="shared" si="24"/>
        <v>32477500</v>
      </c>
      <c r="O68" s="328">
        <f t="shared" si="24"/>
        <v>4050000</v>
      </c>
      <c r="P68" s="349">
        <f>SUM(B68:O68)</f>
        <v>454196939</v>
      </c>
      <c r="Q68" s="373"/>
      <c r="R68" s="373"/>
      <c r="S68" s="373"/>
      <c r="T68" s="373"/>
      <c r="U68" s="373"/>
      <c r="V68" s="350" t="s">
        <v>2</v>
      </c>
      <c r="W68" s="351">
        <v>91999909</v>
      </c>
      <c r="X68" s="352" t="s">
        <v>769</v>
      </c>
      <c r="Y68" s="352" t="s">
        <v>1460</v>
      </c>
      <c r="Z68" s="353">
        <v>3210</v>
      </c>
      <c r="AA68" s="354">
        <v>4000000</v>
      </c>
      <c r="AB68" s="352"/>
      <c r="AC68" s="355"/>
    </row>
    <row r="69" spans="1:31" ht="14.4" thickTop="1">
      <c r="A69" s="441"/>
      <c r="B69" s="326"/>
      <c r="C69" s="326"/>
      <c r="D69" s="326"/>
      <c r="E69" s="326"/>
      <c r="F69" s="326"/>
      <c r="G69" s="326"/>
      <c r="H69" s="326"/>
      <c r="I69" s="326"/>
      <c r="J69" s="326"/>
      <c r="K69" s="326"/>
      <c r="L69" s="326"/>
      <c r="M69" s="326"/>
      <c r="N69" s="326"/>
      <c r="O69" s="326"/>
      <c r="P69" s="349"/>
      <c r="Q69" s="373"/>
      <c r="R69" s="373"/>
      <c r="S69" s="373"/>
      <c r="T69" s="373"/>
      <c r="U69" s="373"/>
      <c r="V69" s="350" t="s">
        <v>2</v>
      </c>
      <c r="W69" s="351">
        <v>91999910</v>
      </c>
      <c r="X69" s="352" t="s">
        <v>769</v>
      </c>
      <c r="Y69" s="352" t="s">
        <v>1460</v>
      </c>
      <c r="Z69" s="353">
        <v>3210</v>
      </c>
      <c r="AA69" s="354">
        <v>4000000</v>
      </c>
      <c r="AB69" s="438"/>
      <c r="AC69" s="439"/>
    </row>
    <row r="70" spans="1:31" ht="15.6">
      <c r="A70" s="404" t="s">
        <v>62</v>
      </c>
      <c r="B70" s="368"/>
      <c r="C70" s="399"/>
      <c r="D70" s="399"/>
      <c r="E70" s="364"/>
      <c r="F70" s="399"/>
      <c r="G70" s="399"/>
      <c r="H70" s="400"/>
      <c r="I70" s="399"/>
      <c r="J70" s="399"/>
      <c r="K70" s="364"/>
      <c r="L70" s="364"/>
      <c r="M70" s="364"/>
      <c r="N70" s="364"/>
      <c r="O70" s="377"/>
      <c r="P70" s="377"/>
      <c r="Q70" s="335"/>
      <c r="R70" s="335"/>
      <c r="S70" s="335"/>
      <c r="T70" s="335"/>
      <c r="U70" s="335"/>
      <c r="V70" s="350" t="s">
        <v>2</v>
      </c>
      <c r="W70" s="351">
        <v>91999911</v>
      </c>
      <c r="X70" s="352" t="s">
        <v>769</v>
      </c>
      <c r="Y70" s="352" t="s">
        <v>1460</v>
      </c>
      <c r="Z70" s="353">
        <v>3210</v>
      </c>
      <c r="AA70" s="354">
        <v>4000000</v>
      </c>
      <c r="AB70" s="438"/>
      <c r="AC70" s="439"/>
    </row>
    <row r="71" spans="1:31">
      <c r="A71" s="417" t="s">
        <v>570</v>
      </c>
      <c r="B71" s="326">
        <f>ROUND(MIN(B$132,29800000)*'New Hire'!C55,0)</f>
        <v>2142000</v>
      </c>
      <c r="C71" s="326">
        <f>ROUND(MIN(C$132,29800000)*'New Hire'!D55,0)</f>
        <v>1820700</v>
      </c>
      <c r="D71" s="326">
        <f>ROUND(MIN(D$132,29800000)*'New Hire'!E55,0)</f>
        <v>72250</v>
      </c>
      <c r="E71" s="326">
        <f>ROUND(MIN(E$132,29800000)*'New Hire'!F55,0)</f>
        <v>2465000</v>
      </c>
      <c r="F71" s="326">
        <f>ROUND(MIN(F$132,29800000)*'New Hire'!G55,0)</f>
        <v>0</v>
      </c>
      <c r="G71" s="326">
        <f>ROUND(MIN(G$132,29800000)*'New Hire'!H55,0)</f>
        <v>1043000</v>
      </c>
      <c r="H71" s="326">
        <f>ROUND(MIN(H$132,29800000)*'New Hire'!I55,0)</f>
        <v>894000</v>
      </c>
      <c r="I71" s="326">
        <f>ROUND(MIN(I$132,29800000)*'New Hire'!J55,0)</f>
        <v>149000</v>
      </c>
      <c r="J71" s="326">
        <f>ROUND(MIN(J$132,29800000)*'New Hire'!K55,0)</f>
        <v>5066000</v>
      </c>
      <c r="K71" s="326">
        <f>ROUND(MIN(K$132,29800000)*'New Hire'!L55,0)</f>
        <v>0</v>
      </c>
      <c r="L71" s="326">
        <f>ROUND(MIN(L$132,29800000)*'New Hire'!M55,0)</f>
        <v>2550000</v>
      </c>
      <c r="M71" s="326">
        <f>ROUND(MIN(M$132,29800000)*'New Hire'!N55,0)</f>
        <v>0</v>
      </c>
      <c r="N71" s="326">
        <f>ROUND(MIN(N$132,29800000)*'New Hire'!O55,0)</f>
        <v>0</v>
      </c>
      <c r="O71" s="326">
        <f>ROUND(MIN(O$132,29800000)*'New Hire'!P55,0)</f>
        <v>0</v>
      </c>
      <c r="P71" s="339">
        <f t="shared" ref="P71:P76" si="25">SUM(B71:O71)</f>
        <v>16201950</v>
      </c>
      <c r="Q71" s="373"/>
      <c r="R71" s="373"/>
      <c r="S71" s="373"/>
      <c r="T71" s="373"/>
      <c r="U71" s="373"/>
      <c r="V71" s="350" t="s">
        <v>2</v>
      </c>
      <c r="W71" s="351">
        <v>91999912</v>
      </c>
      <c r="X71" s="352" t="s">
        <v>769</v>
      </c>
      <c r="Y71" s="352" t="s">
        <v>1460</v>
      </c>
      <c r="Z71" s="353">
        <v>3210</v>
      </c>
      <c r="AA71" s="354">
        <v>4000000</v>
      </c>
      <c r="AB71" s="438"/>
      <c r="AC71" s="439"/>
    </row>
    <row r="72" spans="1:31">
      <c r="A72" s="513" t="s">
        <v>1454</v>
      </c>
      <c r="B72" s="431">
        <f>IF(B15&lt;'UAT9-Sep'!B16/2,0,'UAT9-Sep'!B66)-'UAT9-Sep'!B66</f>
        <v>0</v>
      </c>
      <c r="C72" s="431">
        <f>IF(C15&lt;'UAT9-Sep'!C16/2,0,'UAT9-Sep'!C66)-'UAT9-Sep'!C66</f>
        <v>0</v>
      </c>
      <c r="D72" s="431">
        <f>IF(D15&lt;'UAT9-Sep'!D16/2,0,'UAT9-Sep'!D66)-'UAT9-Sep'!D66</f>
        <v>0</v>
      </c>
      <c r="E72" s="431">
        <f>IF(E15&lt;'UAT9-Sep'!E16/2,0,'UAT9-Sep'!E66)-'UAT9-Sep'!E66</f>
        <v>-2465000</v>
      </c>
      <c r="F72" s="431">
        <f>IF(F15&lt;'UAT9-Sep'!F16/2,0,'UAT9-Sep'!F66)-'UAT9-Sep'!F66</f>
        <v>0</v>
      </c>
      <c r="G72" s="431">
        <f>IF(G15&lt;'UAT9-Sep'!G16/2,0,'UAT9-Sep'!G66)-'UAT9-Sep'!G66</f>
        <v>0</v>
      </c>
      <c r="H72" s="431">
        <f>IF(H15&lt;'UAT9-Sep'!H16/2,0,'UAT9-Sep'!H66)-'UAT9-Sep'!H66</f>
        <v>-894000</v>
      </c>
      <c r="I72" s="431">
        <f>IF(I15&lt;'UAT9-Sep'!I16/2,0,'UAT9-Sep'!I66)-'UAT9-Sep'!I66</f>
        <v>0</v>
      </c>
      <c r="J72" s="431">
        <f>IF(J15&lt;'UAT9-Sep'!J16/2,0,'UAT9-Sep'!J66)-'UAT9-Sep'!J66</f>
        <v>0</v>
      </c>
      <c r="K72" s="431">
        <f>IF(K15&lt;'UAT9-Sep'!K16/2,0,'UAT9-Sep'!K66)-'UAT9-Sep'!K66</f>
        <v>0</v>
      </c>
      <c r="L72" s="431">
        <f>IF(L15&lt;'UAT9-Sep'!L16/2,0,'UAT9-Sep'!L66)-'UAT9-Sep'!L66</f>
        <v>0</v>
      </c>
      <c r="M72" s="431">
        <f>IF(M15&lt;'UAT9-Sep'!M16/2,0,'UAT9-Sep'!M66)-'UAT9-Sep'!M66</f>
        <v>0</v>
      </c>
      <c r="N72" s="431">
        <f>IF(N15&lt;'UAT9-Sep'!N16/2,0,'UAT9-Sep'!N66)-'UAT9-Sep'!N66</f>
        <v>0</v>
      </c>
      <c r="O72" s="431">
        <f>IF(O15&lt;'UAT9-Sep'!O16/2,0,'UAT9-Sep'!O66)-'UAT9-Sep'!O66</f>
        <v>0</v>
      </c>
      <c r="P72" s="657">
        <f t="shared" si="25"/>
        <v>-3359000</v>
      </c>
      <c r="Q72" s="373"/>
      <c r="R72" s="373"/>
      <c r="S72" s="373"/>
      <c r="T72" s="373"/>
      <c r="U72" s="373"/>
      <c r="V72" s="350" t="s">
        <v>2</v>
      </c>
      <c r="W72" s="351">
        <v>91999913</v>
      </c>
      <c r="X72" s="352" t="s">
        <v>769</v>
      </c>
      <c r="Y72" s="352" t="s">
        <v>1460</v>
      </c>
      <c r="Z72" s="353">
        <v>3210</v>
      </c>
      <c r="AA72" s="354">
        <v>4000000</v>
      </c>
      <c r="AB72" s="438"/>
      <c r="AC72" s="439"/>
    </row>
    <row r="73" spans="1:31">
      <c r="A73" s="436" t="s">
        <v>571</v>
      </c>
      <c r="B73" s="326">
        <f>ROUND(MIN(B133,83600000)*'New Hire'!C58,0)</f>
        <v>126000</v>
      </c>
      <c r="C73" s="326">
        <f>ROUND(MIN(C133,83600000)*'New Hire'!D58,0)</f>
        <v>104040</v>
      </c>
      <c r="D73" s="326">
        <f>ROUND(MIN(D133,83600000)*'New Hire'!E58,0)</f>
        <v>144500</v>
      </c>
      <c r="E73" s="326">
        <f>ROUND(MIN(E133,83600000)*'New Hire'!F58,0)</f>
        <v>145000</v>
      </c>
      <c r="F73" s="326">
        <f>ROUND(MIN(F133,83600000)*'New Hire'!G58,0)</f>
        <v>0</v>
      </c>
      <c r="G73" s="326">
        <f>ROUND(MIN(G133,83600000)*'New Hire'!H58,0)</f>
        <v>0</v>
      </c>
      <c r="H73" s="326">
        <f>ROUND(MIN(H133,83600000)*'New Hire'!I58,0)</f>
        <v>0</v>
      </c>
      <c r="I73" s="326">
        <f>ROUND(MIN(I133,83600000)*'New Hire'!J58,0)</f>
        <v>0</v>
      </c>
      <c r="J73" s="326">
        <f>ROUND(MIN(J133,83600000)*'New Hire'!K58,0)</f>
        <v>450000</v>
      </c>
      <c r="K73" s="326">
        <f>ROUND(MIN(K133,83600000)*'New Hire'!L58,0)</f>
        <v>0</v>
      </c>
      <c r="L73" s="326">
        <f>ROUND(MIN(L133,83600000)*'New Hire'!M58,0)</f>
        <v>150000</v>
      </c>
      <c r="M73" s="326">
        <f>ROUND(MIN(M133,83600000)*'New Hire'!N58,0)</f>
        <v>0</v>
      </c>
      <c r="N73" s="326">
        <f>ROUND(MIN(N133,83600000)*'New Hire'!O58,0)</f>
        <v>0</v>
      </c>
      <c r="O73" s="326">
        <f>ROUND(MIN(O133,83600000)*'New Hire'!P58,0)</f>
        <v>0</v>
      </c>
      <c r="P73" s="339">
        <f t="shared" si="25"/>
        <v>1119540</v>
      </c>
      <c r="Q73" s="335"/>
      <c r="R73" s="335"/>
      <c r="S73" s="335"/>
      <c r="T73" s="335"/>
      <c r="U73" s="335"/>
      <c r="V73" s="350" t="s">
        <v>2</v>
      </c>
      <c r="W73" s="351">
        <v>91999901</v>
      </c>
      <c r="X73" s="352" t="s">
        <v>769</v>
      </c>
      <c r="Y73" s="352" t="s">
        <v>1460</v>
      </c>
      <c r="Z73" s="353">
        <v>3501</v>
      </c>
      <c r="AA73" s="354">
        <v>2500000</v>
      </c>
      <c r="AB73" s="352"/>
      <c r="AC73" s="355"/>
    </row>
    <row r="74" spans="1:31">
      <c r="A74" s="452" t="s">
        <v>1455</v>
      </c>
      <c r="B74" s="431">
        <f>IF(B15&lt;'UAT9-Sep'!B16/2,0,'UAT9-Sep'!B68)-'UAT9-Sep'!B68</f>
        <v>0</v>
      </c>
      <c r="C74" s="431">
        <f>IF(C15&lt;'UAT9-Sep'!C16/2,0,'UAT9-Sep'!C68)-'UAT9-Sep'!C68</f>
        <v>0</v>
      </c>
      <c r="D74" s="431">
        <f>IF(D15&lt;'UAT9-Sep'!D16/2,0,'UAT9-Sep'!D68)-'UAT9-Sep'!D68</f>
        <v>0</v>
      </c>
      <c r="E74" s="431">
        <f>IF(E15&lt;'UAT9-Sep'!E16/2,0,'UAT9-Sep'!E68)-'UAT9-Sep'!E68</f>
        <v>-145000</v>
      </c>
      <c r="F74" s="431">
        <f>IF(F15&lt;'UAT9-Sep'!F16/2,0,'UAT9-Sep'!F68)-'UAT9-Sep'!F68</f>
        <v>0</v>
      </c>
      <c r="G74" s="431">
        <f>IF(G15&lt;'UAT9-Sep'!G16/2,0,'UAT9-Sep'!G68)-'UAT9-Sep'!G68</f>
        <v>0</v>
      </c>
      <c r="H74" s="431">
        <f>IF(H15&lt;'UAT9-Sep'!H16/2,0,'UAT9-Sep'!H68)-'UAT9-Sep'!H68</f>
        <v>0</v>
      </c>
      <c r="I74" s="431">
        <f>IF(I15&lt;'UAT9-Sep'!I16/2,0,'UAT9-Sep'!I68)-'UAT9-Sep'!I68</f>
        <v>0</v>
      </c>
      <c r="J74" s="431">
        <f>IF(J15&lt;'UAT9-Sep'!J16/2,0,'UAT9-Sep'!J68)-'UAT9-Sep'!J68</f>
        <v>0</v>
      </c>
      <c r="K74" s="431">
        <f>IF(K15&lt;'UAT9-Sep'!K16/2,0,'UAT9-Sep'!K68)-'UAT9-Sep'!K68</f>
        <v>0</v>
      </c>
      <c r="L74" s="431">
        <f>IF(L15&lt;'UAT9-Sep'!L16/2,0,'UAT9-Sep'!L68)-'UAT9-Sep'!L68</f>
        <v>0</v>
      </c>
      <c r="M74" s="431">
        <f>IF(M15&lt;'UAT9-Sep'!M16/2,0,'UAT9-Sep'!M68)-'UAT9-Sep'!M68</f>
        <v>0</v>
      </c>
      <c r="N74" s="431">
        <f>IF(N15&lt;'UAT9-Sep'!N16/2,0,'UAT9-Sep'!N68)-'UAT9-Sep'!N68</f>
        <v>0</v>
      </c>
      <c r="O74" s="431">
        <f>IF(O15&lt;'UAT9-Sep'!O16/2,0,'UAT9-Sep'!O68)-'UAT9-Sep'!O68</f>
        <v>0</v>
      </c>
      <c r="P74" s="657">
        <f t="shared" si="25"/>
        <v>-145000</v>
      </c>
      <c r="Q74" s="335"/>
      <c r="R74" s="335"/>
      <c r="S74" s="335"/>
      <c r="T74" s="335"/>
      <c r="U74" s="335"/>
      <c r="V74" s="350" t="s">
        <v>2</v>
      </c>
      <c r="W74" s="351">
        <v>91999902</v>
      </c>
      <c r="X74" s="352" t="s">
        <v>769</v>
      </c>
      <c r="Y74" s="352" t="s">
        <v>1460</v>
      </c>
      <c r="Z74" s="353">
        <v>3501</v>
      </c>
      <c r="AA74" s="354">
        <v>2500000</v>
      </c>
      <c r="AB74" s="352"/>
      <c r="AC74" s="355"/>
    </row>
    <row r="75" spans="1:31">
      <c r="A75" s="436" t="s">
        <v>572</v>
      </c>
      <c r="B75" s="326">
        <f>ROUND(MIN(B$132,29800000)*'New Hire'!C61,0)</f>
        <v>378000</v>
      </c>
      <c r="C75" s="326">
        <f>ROUND(MIN(C$132,29800000)*'New Hire'!D61,0)</f>
        <v>312120</v>
      </c>
      <c r="D75" s="326">
        <f>ROUND(MIN(D$132,29800000)*'New Hire'!E61,0)</f>
        <v>433500</v>
      </c>
      <c r="E75" s="326">
        <f>ROUND(MIN(E$132,29800000)*'New Hire'!F61,0)</f>
        <v>435000</v>
      </c>
      <c r="F75" s="326">
        <f>ROUND(MIN(F$132,29800000)*'New Hire'!G61,0)</f>
        <v>0</v>
      </c>
      <c r="G75" s="326">
        <f>ROUND(MIN(G$132,29800000)*'New Hire'!H61,0)</f>
        <v>894000</v>
      </c>
      <c r="H75" s="326">
        <f>ROUND(MIN(H$132,29800000)*'New Hire'!I61,0)</f>
        <v>894000</v>
      </c>
      <c r="I75" s="326">
        <f>ROUND(MIN(I$132,29800000)*'New Hire'!J61,0)</f>
        <v>894000</v>
      </c>
      <c r="J75" s="326">
        <f>ROUND(MIN(J$132,29800000)*'New Hire'!K61,0)</f>
        <v>894000</v>
      </c>
      <c r="K75" s="326">
        <f>ROUND(MIN(K$132,29800000)*'New Hire'!L61,0)</f>
        <v>0</v>
      </c>
      <c r="L75" s="326">
        <f>ROUND(MIN(L$132,29800000)*'New Hire'!M61,0)</f>
        <v>450000</v>
      </c>
      <c r="M75" s="326">
        <f>ROUND(MIN(M$132,29800000)*'New Hire'!N61,0)</f>
        <v>0</v>
      </c>
      <c r="N75" s="326">
        <f>ROUND(MIN(N$132,29800000)*'New Hire'!O61,0)</f>
        <v>0</v>
      </c>
      <c r="O75" s="326">
        <f>ROUND(MIN(O$132,29800000)*'New Hire'!P61,0)</f>
        <v>0</v>
      </c>
      <c r="P75" s="339">
        <f t="shared" si="25"/>
        <v>5584620</v>
      </c>
      <c r="Q75" s="335"/>
      <c r="R75" s="335"/>
      <c r="S75" s="335"/>
      <c r="T75" s="335"/>
      <c r="U75" s="335"/>
      <c r="V75" s="350" t="s">
        <v>2</v>
      </c>
      <c r="W75" s="351">
        <v>91999904</v>
      </c>
      <c r="X75" s="352" t="s">
        <v>769</v>
      </c>
      <c r="Y75" s="352" t="s">
        <v>1460</v>
      </c>
      <c r="Z75" s="353">
        <v>3501</v>
      </c>
      <c r="AA75" s="354">
        <v>2500000</v>
      </c>
      <c r="AB75" s="352"/>
      <c r="AC75" s="355"/>
    </row>
    <row r="76" spans="1:31">
      <c r="A76" s="452" t="s">
        <v>1456</v>
      </c>
      <c r="B76" s="431">
        <f>IF(B15&lt;'UAT9-Sep'!B16/2,0,'UAT9-Sep'!B70)-'UAT9-Sep'!B70</f>
        <v>0</v>
      </c>
      <c r="C76" s="431">
        <f>IF(C15&lt;'UAT9-Sep'!C16/2,0,'UAT9-Sep'!C70)-'UAT9-Sep'!C70</f>
        <v>0</v>
      </c>
      <c r="D76" s="431">
        <f>IF(D15&lt;'UAT9-Sep'!D16/2,0,'UAT9-Sep'!D70)-'UAT9-Sep'!D70</f>
        <v>0</v>
      </c>
      <c r="E76" s="431">
        <f>IF(E15&lt;'UAT9-Sep'!E16/2,0,'UAT9-Sep'!E70)-'UAT9-Sep'!E70</f>
        <v>-435000</v>
      </c>
      <c r="F76" s="431">
        <f>IF(F15&lt;'UAT9-Sep'!F16/2,0,'UAT9-Sep'!F70)-'UAT9-Sep'!F70</f>
        <v>0</v>
      </c>
      <c r="G76" s="431">
        <f>IF(G15&lt;'UAT9-Sep'!G16/2,0,'UAT9-Sep'!G70)-'UAT9-Sep'!G70</f>
        <v>0</v>
      </c>
      <c r="H76" s="431">
        <f>IF(H15&lt;'UAT9-Sep'!H16/2,0,'UAT9-Sep'!H70)-'UAT9-Sep'!H70</f>
        <v>-894000</v>
      </c>
      <c r="I76" s="431">
        <f>IF(I15&lt;'UAT9-Sep'!I16/2,0,'UAT9-Sep'!I70)-'UAT9-Sep'!I70</f>
        <v>0</v>
      </c>
      <c r="J76" s="431">
        <f>IF(J15&lt;'UAT9-Sep'!J16/2,0,'UAT9-Sep'!J70)-'UAT9-Sep'!J70</f>
        <v>0</v>
      </c>
      <c r="K76" s="431">
        <f>IF(K15&lt;'UAT9-Sep'!K16/2,0,'UAT9-Sep'!K70)-'UAT9-Sep'!K70</f>
        <v>0</v>
      </c>
      <c r="L76" s="431">
        <f>IF(L15&lt;'UAT9-Sep'!L16/2,0,'UAT9-Sep'!L70)-'UAT9-Sep'!L70</f>
        <v>0</v>
      </c>
      <c r="M76" s="431">
        <f>IF(M15&lt;'UAT9-Sep'!M16/2,0,'UAT9-Sep'!M70)-'UAT9-Sep'!M70</f>
        <v>0</v>
      </c>
      <c r="N76" s="431">
        <f>IF(N15&lt;'UAT9-Sep'!N16/2,0,'UAT9-Sep'!N70)-'UAT9-Sep'!N70</f>
        <v>0</v>
      </c>
      <c r="O76" s="431">
        <f>IF(O15&lt;'UAT9-Sep'!O16/2,0,'UAT9-Sep'!O70)-'UAT9-Sep'!O70</f>
        <v>0</v>
      </c>
      <c r="P76" s="657">
        <f t="shared" si="25"/>
        <v>-1329000</v>
      </c>
      <c r="Q76" s="335"/>
      <c r="R76" s="335"/>
      <c r="S76" s="335"/>
      <c r="T76" s="335"/>
      <c r="U76" s="335"/>
      <c r="V76" s="350" t="s">
        <v>2</v>
      </c>
      <c r="W76" s="351">
        <v>91999905</v>
      </c>
      <c r="X76" s="352" t="s">
        <v>769</v>
      </c>
      <c r="Y76" s="352" t="s">
        <v>1460</v>
      </c>
      <c r="Z76" s="353">
        <v>3501</v>
      </c>
      <c r="AA76" s="354">
        <v>2500000</v>
      </c>
      <c r="AB76" s="438"/>
      <c r="AC76" s="439"/>
    </row>
    <row r="77" spans="1:31">
      <c r="A77" s="436" t="s">
        <v>1071</v>
      </c>
      <c r="B77" s="326">
        <f t="shared" ref="B77:O77" si="26">ROUND(MIN(B132,29800000)*2%,0)</f>
        <v>252000</v>
      </c>
      <c r="C77" s="326">
        <f t="shared" si="26"/>
        <v>208080</v>
      </c>
      <c r="D77" s="326">
        <f t="shared" si="26"/>
        <v>289000</v>
      </c>
      <c r="E77" s="326">
        <f t="shared" si="26"/>
        <v>290000</v>
      </c>
      <c r="F77" s="326">
        <f t="shared" si="26"/>
        <v>312000</v>
      </c>
      <c r="G77" s="326">
        <f t="shared" si="26"/>
        <v>596000</v>
      </c>
      <c r="H77" s="326">
        <f t="shared" si="26"/>
        <v>596000</v>
      </c>
      <c r="I77" s="326">
        <f t="shared" si="26"/>
        <v>596000</v>
      </c>
      <c r="J77" s="326">
        <f t="shared" si="26"/>
        <v>596000</v>
      </c>
      <c r="K77" s="326">
        <f t="shared" si="26"/>
        <v>330000</v>
      </c>
      <c r="L77" s="326">
        <f t="shared" si="26"/>
        <v>300000</v>
      </c>
      <c r="M77" s="326">
        <f t="shared" si="26"/>
        <v>280000</v>
      </c>
      <c r="N77" s="326">
        <f t="shared" si="26"/>
        <v>287000</v>
      </c>
      <c r="O77" s="326">
        <f t="shared" si="26"/>
        <v>90000</v>
      </c>
      <c r="P77" s="338">
        <f>SUM(B77:O77)-J77</f>
        <v>4426080</v>
      </c>
      <c r="Q77" s="469"/>
      <c r="R77" s="469"/>
      <c r="S77" s="373"/>
      <c r="T77" s="373"/>
      <c r="U77" s="373"/>
      <c r="V77" s="350" t="s">
        <v>2</v>
      </c>
      <c r="W77" s="351">
        <v>91999909</v>
      </c>
      <c r="X77" s="352" t="s">
        <v>769</v>
      </c>
      <c r="Y77" s="352" t="s">
        <v>1460</v>
      </c>
      <c r="Z77" s="353">
        <v>3501</v>
      </c>
      <c r="AA77" s="354">
        <v>2500000</v>
      </c>
      <c r="AB77" s="438"/>
      <c r="AC77" s="439"/>
    </row>
    <row r="78" spans="1:31" s="5" customFormat="1">
      <c r="A78" s="436" t="s">
        <v>510</v>
      </c>
      <c r="B78" s="326">
        <f t="shared" ref="B78:O78" si="27">IF(OR(B19="A",B19="B"),B127,ROUND(B127*B13%,0))</f>
        <v>679452</v>
      </c>
      <c r="C78" s="326">
        <f t="shared" si="27"/>
        <v>679452</v>
      </c>
      <c r="D78" s="326">
        <f t="shared" si="27"/>
        <v>0</v>
      </c>
      <c r="E78" s="326">
        <f t="shared" si="27"/>
        <v>679452</v>
      </c>
      <c r="F78" s="326">
        <f t="shared" si="27"/>
        <v>679452</v>
      </c>
      <c r="G78" s="326">
        <f t="shared" si="27"/>
        <v>0</v>
      </c>
      <c r="H78" s="326">
        <f t="shared" si="27"/>
        <v>3397</v>
      </c>
      <c r="I78" s="326">
        <f t="shared" si="27"/>
        <v>0</v>
      </c>
      <c r="J78" s="326">
        <f t="shared" si="27"/>
        <v>0</v>
      </c>
      <c r="K78" s="326">
        <f t="shared" si="27"/>
        <v>0</v>
      </c>
      <c r="L78" s="326">
        <f t="shared" si="27"/>
        <v>0</v>
      </c>
      <c r="M78" s="326">
        <f t="shared" si="27"/>
        <v>0</v>
      </c>
      <c r="N78" s="326">
        <f t="shared" si="27"/>
        <v>0</v>
      </c>
      <c r="O78" s="326">
        <f t="shared" si="27"/>
        <v>0</v>
      </c>
      <c r="P78" s="339">
        <f>SUM(B78:O78)</f>
        <v>2721205</v>
      </c>
      <c r="Q78"/>
      <c r="R78"/>
      <c r="S78"/>
      <c r="T78"/>
      <c r="U78"/>
      <c r="V78" s="350" t="s">
        <v>2</v>
      </c>
      <c r="W78" s="351">
        <v>91999910</v>
      </c>
      <c r="X78" s="352" t="s">
        <v>769</v>
      </c>
      <c r="Y78" s="352" t="s">
        <v>1460</v>
      </c>
      <c r="Z78" s="353">
        <v>3501</v>
      </c>
      <c r="AA78" s="354">
        <v>2500000</v>
      </c>
      <c r="AB78" s="438"/>
      <c r="AC78" s="439"/>
      <c r="AD78"/>
      <c r="AE78"/>
    </row>
    <row r="79" spans="1:31" s="5" customFormat="1">
      <c r="A79" s="405"/>
      <c r="B79" s="325"/>
      <c r="C79" s="326"/>
      <c r="D79" s="326"/>
      <c r="E79" s="334"/>
      <c r="F79" s="326"/>
      <c r="G79" s="326"/>
      <c r="H79" s="326"/>
      <c r="I79" s="326"/>
      <c r="J79" s="326"/>
      <c r="K79" s="334"/>
      <c r="L79" s="334"/>
      <c r="M79" s="334"/>
      <c r="N79" s="334"/>
      <c r="O79" s="334"/>
      <c r="P79" s="339"/>
      <c r="Q79" s="335"/>
      <c r="R79" s="470"/>
      <c r="S79" s="335"/>
      <c r="T79" s="335"/>
      <c r="U79" s="335"/>
      <c r="V79" s="350" t="s">
        <v>2</v>
      </c>
      <c r="W79" s="351">
        <v>91000011</v>
      </c>
      <c r="X79" s="352" t="s">
        <v>769</v>
      </c>
      <c r="Y79" s="352" t="s">
        <v>1460</v>
      </c>
      <c r="Z79" s="353">
        <v>3501</v>
      </c>
      <c r="AA79" s="354">
        <v>2500000</v>
      </c>
      <c r="AB79" s="438"/>
      <c r="AC79" s="439"/>
      <c r="AD79"/>
      <c r="AE79"/>
    </row>
    <row r="80" spans="1:31" s="5" customFormat="1" ht="15.6">
      <c r="A80" s="404" t="s">
        <v>474</v>
      </c>
      <c r="B80" s="325"/>
      <c r="C80" s="326"/>
      <c r="D80" s="326"/>
      <c r="E80" s="334"/>
      <c r="F80" s="326"/>
      <c r="G80" s="326"/>
      <c r="H80" s="326"/>
      <c r="I80" s="326"/>
      <c r="J80" s="326"/>
      <c r="K80" s="334"/>
      <c r="L80" s="334"/>
      <c r="M80" s="334"/>
      <c r="N80" s="334"/>
      <c r="O80" s="334"/>
      <c r="P80" s="339"/>
      <c r="Q80" s="335"/>
      <c r="R80" s="335"/>
      <c r="S80" s="335"/>
      <c r="T80" s="335"/>
      <c r="U80" s="335"/>
      <c r="V80" s="350" t="s">
        <v>2</v>
      </c>
      <c r="W80" s="351">
        <v>91999912</v>
      </c>
      <c r="X80" s="352" t="s">
        <v>769</v>
      </c>
      <c r="Y80" s="352" t="s">
        <v>1460</v>
      </c>
      <c r="Z80" s="353">
        <v>3501</v>
      </c>
      <c r="AA80" s="354">
        <v>2500000</v>
      </c>
      <c r="AB80" s="352"/>
      <c r="AC80" s="355"/>
      <c r="AD80"/>
      <c r="AE80"/>
    </row>
    <row r="81" spans="1:31" s="5" customFormat="1">
      <c r="A81" s="436" t="s">
        <v>475</v>
      </c>
      <c r="B81" s="326">
        <f>IF(OR(B11="1",B11="P"),ROUND(B167*B125,0),0)+'UAT9-Sep'!B76</f>
        <v>4877394</v>
      </c>
      <c r="C81" s="326">
        <f>IF(OR(C11="1",C11="P"),ROUND(C167*C125,0),0)+'UAT9-Sep'!C76</f>
        <v>3957586</v>
      </c>
      <c r="D81" s="326">
        <f>IF(OR(D11="1",D11="P"),ROUND(D167*D125,0),0)+'UAT9-Sep'!D76</f>
        <v>0</v>
      </c>
      <c r="E81" s="326">
        <f>IF(OR(E11="1",E11="P"),ROUND(E167*E125,0),0)+'UAT9-Sep'!E76</f>
        <v>0</v>
      </c>
      <c r="F81" s="326">
        <f>IF(OR(F11="1",F11="P"),ROUND(F167*F125,0),0)+'UAT9-Sep'!F76</f>
        <v>0</v>
      </c>
      <c r="G81" s="326">
        <f>IF(OR(G11="1",G11="P"),ROUND(G167*G125,0),0)+'UAT9-Sep'!G76</f>
        <v>7157098</v>
      </c>
      <c r="H81" s="326">
        <f>IF(OR(H11="1",H11="P"),ROUND(H167*H125,0),0)+'UAT9-Sep'!H76</f>
        <v>0</v>
      </c>
      <c r="I81" s="326">
        <f>IF(OR(I11="1",I11="P"),ROUND(I167*I125,0),0)+'UAT9-Sep'!I76</f>
        <v>0</v>
      </c>
      <c r="J81" s="326">
        <f>IF(OR(J11="1",J11="P"),ROUND(J167*J125,0),0)+'UAT9-Sep'!J76</f>
        <v>24011497</v>
      </c>
      <c r="K81" s="326">
        <f>IF(OR(K11="1",K11="P"),ROUND(K167*K125,0),0)+'UAT9-Sep'!K76</f>
        <v>7478929</v>
      </c>
      <c r="L81" s="326">
        <f>IF(OR(L11="1",L11="P"),ROUND(L167*L125,0),0)+'UAT9-Sep'!L76</f>
        <v>42388895</v>
      </c>
      <c r="M81" s="326">
        <f>IF(OR(M11="1",M11="P"),ROUND(M167*M125,0),0)+'UAT9-Sep'!M76</f>
        <v>0</v>
      </c>
      <c r="N81" s="326">
        <f>IF(OR(N11="1",N11="P"),ROUND(N167*N125,0),0)+'UAT9-Sep'!N76</f>
        <v>0</v>
      </c>
      <c r="O81" s="326">
        <f>IF(OR(O11="1",O11="P"),ROUND(O167*O125,0),0)+'UAT9-Sep'!O76</f>
        <v>2258622</v>
      </c>
      <c r="P81" s="339">
        <f>SUM(B81:O81)</f>
        <v>92130021</v>
      </c>
      <c r="Q81" s="335"/>
      <c r="R81" s="335"/>
      <c r="S81" s="335"/>
      <c r="T81" s="335"/>
      <c r="U81" s="335"/>
      <c r="V81" s="350" t="s">
        <v>2</v>
      </c>
      <c r="W81" s="351">
        <v>91999913</v>
      </c>
      <c r="X81" s="352" t="s">
        <v>769</v>
      </c>
      <c r="Y81" s="352" t="s">
        <v>1460</v>
      </c>
      <c r="Z81" s="353">
        <v>3501</v>
      </c>
      <c r="AA81" s="354">
        <v>2500000</v>
      </c>
      <c r="AB81" s="352"/>
      <c r="AC81" s="355"/>
      <c r="AD81"/>
      <c r="AE81"/>
    </row>
    <row r="82" spans="1:31" s="5" customFormat="1">
      <c r="A82" s="436" t="s">
        <v>482</v>
      </c>
      <c r="B82" s="584"/>
      <c r="C82" s="584">
        <f>IF('New Hire'!D41&lt;'New Hire'!$Q$40,CEILING((NETWORKDAYS('New Hire'!D41,'New Hire'!$Q$40)+C184)/261,0.5),CEILING(C184/261,0.5))</f>
        <v>3</v>
      </c>
      <c r="D82" s="584"/>
      <c r="E82" s="584">
        <f>IF('New Hire'!F41&lt;'New Hire'!$Q$40,CEILING((NETWORKDAYS('New Hire'!F41,'New Hire'!$Q$40)+E184)/261,0.5),CEILING(E184/261,0.5))</f>
        <v>0.5</v>
      </c>
      <c r="F82" s="584"/>
      <c r="G82" s="584">
        <f>IF('New Hire'!H41&lt;'New Hire'!$Q$40,CEILING((NETWORKDAYS('New Hire'!H41,'New Hire'!$Q$40)+G184)/261,0.5),CEILING(G184/261,0.5))</f>
        <v>0</v>
      </c>
      <c r="H82" s="584">
        <f>IF('New Hire'!I41&lt;'New Hire'!$Q$40,CEILING((NETWORKDAYS('New Hire'!I41,'New Hire'!$Q$40)+H184)/261,0.5),CEILING(H184/261,0.5))</f>
        <v>4.5</v>
      </c>
      <c r="I82" s="584">
        <f>IF('New Hire'!J41&lt;'New Hire'!$Q$40,CEILING((NETWORKDAYS('New Hire'!J41,'New Hire'!$Q$40)+I184)/261,0.5),CEILING(I184/261,0.5))</f>
        <v>0</v>
      </c>
      <c r="J82" s="584"/>
      <c r="K82" s="584"/>
      <c r="L82" s="584"/>
      <c r="M82" s="584"/>
      <c r="N82" s="584">
        <f>IF('New Hire'!O41&lt;'New Hire'!$Q$40,CEILING((NETWORKDAYS('New Hire'!O41,'New Hire'!$Q$40)+N184)/261,0.5),CEILING(N184/261,0.5))</f>
        <v>1.5</v>
      </c>
      <c r="O82" s="584"/>
      <c r="P82" s="654">
        <f>SUM(B82:O82)</f>
        <v>9.5</v>
      </c>
      <c r="Q82" s="335"/>
      <c r="R82" s="335"/>
      <c r="S82" s="335"/>
      <c r="T82" s="335"/>
      <c r="U82" s="335"/>
      <c r="V82" s="350" t="s">
        <v>2</v>
      </c>
      <c r="W82" s="351">
        <v>91999901</v>
      </c>
      <c r="X82" s="352" t="s">
        <v>769</v>
      </c>
      <c r="Y82" s="352" t="s">
        <v>1460</v>
      </c>
      <c r="Z82" s="353">
        <v>3525</v>
      </c>
      <c r="AA82" s="354">
        <v>730000</v>
      </c>
      <c r="AB82" s="352"/>
      <c r="AC82" s="355"/>
      <c r="AD82"/>
      <c r="AE82"/>
    </row>
    <row r="83" spans="1:31" s="5" customFormat="1">
      <c r="A83" s="436" t="s">
        <v>581</v>
      </c>
      <c r="B83" s="326">
        <f>B134+'UAT9-Sep'!B78-'UAT4-Apr'!B84</f>
        <v>72190000</v>
      </c>
      <c r="C83" s="326">
        <f>C134+'UAT9-Sep'!C78-'UAT4-Apr'!C84</f>
        <v>59706000</v>
      </c>
      <c r="D83" s="326">
        <f>D134</f>
        <v>14450000</v>
      </c>
      <c r="E83" s="326">
        <f>E134+'UAT9-Sep'!E78-'UAT4-Apr'!E84</f>
        <v>83190000</v>
      </c>
      <c r="F83" s="326">
        <f>F134+'UAT9-Sep'!F78-'UAT4-Apr'!F84</f>
        <v>91352000</v>
      </c>
      <c r="G83" s="326">
        <f>G134+'UAT9-Sep'!G78-'UAT4-Apr'!G84</f>
        <v>445536000</v>
      </c>
      <c r="H83" s="326">
        <f>H134+'UAT9-Sep'!H78-'UAT4-Apr'!H84</f>
        <v>455398125</v>
      </c>
      <c r="I83" s="326">
        <f>I134+'UAT9-Sep'!I78-'UAT4-Apr'!I84</f>
        <v>403767000</v>
      </c>
      <c r="J83" s="326">
        <f>J134+'UAT9-Sep'!J78-'UAT4-Apr'!J84</f>
        <v>265614000</v>
      </c>
      <c r="K83" s="326">
        <f>K134+'UAT9-Sep'!K78-'UAT4-Apr'!K84</f>
        <v>95590000</v>
      </c>
      <c r="L83" s="326">
        <f>L134+'UAT9-Sep'!L78-'UAT4-Apr'!L84</f>
        <v>167690000</v>
      </c>
      <c r="M83" s="326">
        <f>M134+'UAT9-Sep'!M78-'UAT4-Apr'!M84</f>
        <v>80190000</v>
      </c>
      <c r="N83" s="326">
        <f>N134+'UAT9-Sep'!N78-'UAT4-Apr'!N84</f>
        <v>81960000</v>
      </c>
      <c r="O83" s="326">
        <f>O134+'UAT9-Sep'!O78-'UAT4-Apr'!O84</f>
        <v>29250000</v>
      </c>
      <c r="P83" s="339">
        <f>SUM(B83:O83)</f>
        <v>2345883125</v>
      </c>
      <c r="Q83" s="335"/>
      <c r="R83" s="335"/>
      <c r="S83" s="335"/>
      <c r="T83" s="335"/>
      <c r="U83" s="335"/>
      <c r="V83" s="350" t="s">
        <v>2</v>
      </c>
      <c r="W83" s="351">
        <v>91999902</v>
      </c>
      <c r="X83" s="352" t="s">
        <v>769</v>
      </c>
      <c r="Y83" s="352" t="s">
        <v>1460</v>
      </c>
      <c r="Z83" s="353">
        <v>3525</v>
      </c>
      <c r="AA83" s="354">
        <v>730000</v>
      </c>
      <c r="AB83" s="352"/>
      <c r="AC83" s="355"/>
      <c r="AD83"/>
      <c r="AE83"/>
    </row>
    <row r="84" spans="1:31" s="5" customFormat="1">
      <c r="A84" s="436" t="s">
        <v>1138</v>
      </c>
      <c r="B84" s="7">
        <v>8</v>
      </c>
      <c r="C84" s="7"/>
      <c r="D84" s="7"/>
      <c r="E84" s="7">
        <v>15</v>
      </c>
      <c r="F84" s="7"/>
      <c r="G84" s="7"/>
      <c r="H84" s="7"/>
      <c r="I84" s="7"/>
      <c r="J84" s="7">
        <v>8</v>
      </c>
      <c r="K84" s="7"/>
      <c r="L84" s="7"/>
      <c r="M84" s="7">
        <v>150</v>
      </c>
      <c r="N84" s="7">
        <v>10</v>
      </c>
      <c r="O84" s="7"/>
      <c r="P84" s="653">
        <f>SUM(B84:O84)</f>
        <v>191</v>
      </c>
      <c r="Q84" s="335"/>
      <c r="R84" s="335"/>
      <c r="S84" s="335"/>
      <c r="T84" s="335"/>
      <c r="U84" s="335"/>
      <c r="V84" s="350" t="s">
        <v>2</v>
      </c>
      <c r="W84" s="351">
        <v>91999904</v>
      </c>
      <c r="X84" s="352" t="s">
        <v>769</v>
      </c>
      <c r="Y84" s="352" t="s">
        <v>1460</v>
      </c>
      <c r="Z84" s="353">
        <v>3525</v>
      </c>
      <c r="AA84" s="354">
        <v>730000</v>
      </c>
      <c r="AB84" s="438"/>
      <c r="AC84" s="439"/>
      <c r="AD84"/>
      <c r="AE84"/>
    </row>
    <row r="85" spans="1:31" s="5" customFormat="1">
      <c r="A85" s="405"/>
      <c r="B85" s="325"/>
      <c r="C85" s="326"/>
      <c r="D85" s="326"/>
      <c r="E85" s="334"/>
      <c r="F85" s="326"/>
      <c r="G85" s="326"/>
      <c r="H85" s="326"/>
      <c r="I85" s="326"/>
      <c r="J85" s="326"/>
      <c r="K85" s="334"/>
      <c r="L85" s="334"/>
      <c r="M85" s="334"/>
      <c r="N85" s="334"/>
      <c r="O85" s="334"/>
      <c r="P85" s="339"/>
      <c r="Q85" s="335"/>
      <c r="R85" s="335"/>
      <c r="S85" s="335"/>
      <c r="T85" s="335"/>
      <c r="U85" s="335"/>
      <c r="V85" s="350" t="s">
        <v>2</v>
      </c>
      <c r="W85" s="351">
        <v>91999905</v>
      </c>
      <c r="X85" s="352" t="s">
        <v>769</v>
      </c>
      <c r="Y85" s="352" t="s">
        <v>1460</v>
      </c>
      <c r="Z85" s="353">
        <v>3525</v>
      </c>
      <c r="AA85" s="354">
        <v>730000</v>
      </c>
      <c r="AB85" s="438"/>
      <c r="AC85" s="439"/>
      <c r="AD85"/>
      <c r="AE85"/>
    </row>
    <row r="86" spans="1:31" s="5" customFormat="1" ht="15.6">
      <c r="A86" s="404" t="s">
        <v>835</v>
      </c>
      <c r="B86" s="468"/>
      <c r="C86" s="468"/>
      <c r="D86" s="468"/>
      <c r="E86" s="468"/>
      <c r="F86" s="468"/>
      <c r="G86" s="468"/>
      <c r="H86" s="468"/>
      <c r="I86" s="468"/>
      <c r="J86" s="559"/>
      <c r="K86" s="468"/>
      <c r="L86" s="468"/>
      <c r="M86" s="468"/>
      <c r="N86" s="468"/>
      <c r="O86" s="468"/>
      <c r="P86" s="339"/>
      <c r="Q86" s="335"/>
      <c r="R86" s="470"/>
      <c r="S86" s="335"/>
      <c r="T86" s="335"/>
      <c r="U86" s="335"/>
      <c r="V86" s="350" t="s">
        <v>2</v>
      </c>
      <c r="W86" s="351">
        <v>91999909</v>
      </c>
      <c r="X86" s="352" t="s">
        <v>769</v>
      </c>
      <c r="Y86" s="352" t="s">
        <v>1460</v>
      </c>
      <c r="Z86" s="353">
        <v>3525</v>
      </c>
      <c r="AA86" s="354">
        <v>730000</v>
      </c>
      <c r="AB86" s="438"/>
      <c r="AC86" s="439"/>
      <c r="AD86"/>
      <c r="AE86"/>
    </row>
    <row r="87" spans="1:31" s="5" customFormat="1">
      <c r="A87" s="462" t="s">
        <v>1120</v>
      </c>
      <c r="B87" s="334">
        <f t="shared" ref="B87:O87" si="28">ROUND(B119*(B162+B163),0)</f>
        <v>2869880</v>
      </c>
      <c r="C87" s="334">
        <f t="shared" si="28"/>
        <v>10323922</v>
      </c>
      <c r="D87" s="334">
        <f t="shared" si="28"/>
        <v>0</v>
      </c>
      <c r="E87" s="334">
        <f t="shared" si="28"/>
        <v>0</v>
      </c>
      <c r="F87" s="334">
        <f t="shared" si="28"/>
        <v>18000000</v>
      </c>
      <c r="G87" s="334">
        <f t="shared" si="28"/>
        <v>0</v>
      </c>
      <c r="H87" s="334">
        <f t="shared" si="28"/>
        <v>18819751</v>
      </c>
      <c r="I87" s="334">
        <f t="shared" si="28"/>
        <v>0</v>
      </c>
      <c r="J87" s="334">
        <f t="shared" si="28"/>
        <v>0</v>
      </c>
      <c r="K87" s="334">
        <f t="shared" si="28"/>
        <v>3806728</v>
      </c>
      <c r="L87" s="334">
        <f t="shared" si="28"/>
        <v>3116233</v>
      </c>
      <c r="M87" s="334">
        <f t="shared" si="28"/>
        <v>0</v>
      </c>
      <c r="N87" s="334">
        <f t="shared" si="28"/>
        <v>0</v>
      </c>
      <c r="O87" s="334">
        <f t="shared" si="28"/>
        <v>0</v>
      </c>
      <c r="P87" s="339">
        <f>SUM(B87:O87)-J87</f>
        <v>56936514</v>
      </c>
      <c r="Q87" s="341"/>
      <c r="R87" s="341"/>
      <c r="S87" s="341"/>
      <c r="T87" s="341"/>
      <c r="U87" s="341"/>
      <c r="V87" s="350" t="s">
        <v>2</v>
      </c>
      <c r="W87" s="351">
        <v>91999910</v>
      </c>
      <c r="X87" s="352" t="s">
        <v>769</v>
      </c>
      <c r="Y87" s="352" t="s">
        <v>1460</v>
      </c>
      <c r="Z87" s="353">
        <v>3525</v>
      </c>
      <c r="AA87" s="354">
        <v>730000</v>
      </c>
      <c r="AB87" s="352"/>
      <c r="AC87" s="355"/>
      <c r="AD87"/>
      <c r="AE87"/>
    </row>
    <row r="88" spans="1:31" s="5" customFormat="1">
      <c r="A88" s="462" t="s">
        <v>832</v>
      </c>
      <c r="B88" s="334">
        <f t="shared" ref="B88:O88" si="29">ROUND(B119*B160,0)</f>
        <v>10889989</v>
      </c>
      <c r="C88" s="334">
        <f t="shared" si="29"/>
        <v>9231507</v>
      </c>
      <c r="D88" s="334">
        <f t="shared" si="29"/>
        <v>0</v>
      </c>
      <c r="E88" s="334">
        <f t="shared" si="29"/>
        <v>13384640</v>
      </c>
      <c r="F88" s="334">
        <f t="shared" si="29"/>
        <v>14400000</v>
      </c>
      <c r="G88" s="334">
        <f t="shared" si="29"/>
        <v>43756776</v>
      </c>
      <c r="H88" s="334">
        <f t="shared" si="29"/>
        <v>74467319</v>
      </c>
      <c r="I88" s="334">
        <f t="shared" si="29"/>
        <v>0</v>
      </c>
      <c r="J88" s="334">
        <f t="shared" si="29"/>
        <v>37895165</v>
      </c>
      <c r="K88" s="334">
        <f t="shared" si="29"/>
        <v>15188836</v>
      </c>
      <c r="L88" s="334">
        <f t="shared" si="29"/>
        <v>13846080</v>
      </c>
      <c r="M88" s="334">
        <f t="shared" si="29"/>
        <v>12923040</v>
      </c>
      <c r="N88" s="334">
        <f t="shared" si="29"/>
        <v>12592883</v>
      </c>
      <c r="O88" s="334">
        <f t="shared" si="29"/>
        <v>2761585</v>
      </c>
      <c r="P88" s="339">
        <f>SUM(B88:O88)-J88</f>
        <v>223442655</v>
      </c>
      <c r="Q88" s="341"/>
      <c r="R88" s="341"/>
      <c r="S88" s="341"/>
      <c r="T88" s="341"/>
      <c r="U88" s="341"/>
      <c r="V88" s="350" t="s">
        <v>2</v>
      </c>
      <c r="W88" s="351">
        <v>91000011</v>
      </c>
      <c r="X88" s="352" t="s">
        <v>769</v>
      </c>
      <c r="Y88" s="352" t="s">
        <v>1460</v>
      </c>
      <c r="Z88" s="353">
        <v>3525</v>
      </c>
      <c r="AA88" s="354">
        <v>730000</v>
      </c>
      <c r="AB88" s="352"/>
      <c r="AC88" s="355"/>
      <c r="AD88"/>
      <c r="AE88"/>
    </row>
    <row r="89" spans="1:31" s="5" customFormat="1">
      <c r="A89" s="462" t="s">
        <v>833</v>
      </c>
      <c r="B89" s="334"/>
      <c r="C89" s="334"/>
      <c r="D89" s="334"/>
      <c r="E89" s="334"/>
      <c r="F89" s="334"/>
      <c r="G89" s="334"/>
      <c r="H89" s="334"/>
      <c r="I89" s="334"/>
      <c r="J89" s="444"/>
      <c r="K89" s="334"/>
      <c r="L89" s="334"/>
      <c r="M89" s="334"/>
      <c r="N89" s="334"/>
      <c r="O89" s="334"/>
      <c r="P89" s="339">
        <f>SUM(B89:O89)-J89</f>
        <v>0</v>
      </c>
      <c r="Q89" s="516"/>
      <c r="R89" s="516"/>
      <c r="S89" s="516"/>
      <c r="T89" s="516"/>
      <c r="U89" s="516"/>
      <c r="V89" s="350" t="s">
        <v>2</v>
      </c>
      <c r="W89" s="351">
        <v>91999912</v>
      </c>
      <c r="X89" s="352" t="s">
        <v>769</v>
      </c>
      <c r="Y89" s="352" t="s">
        <v>1460</v>
      </c>
      <c r="Z89" s="353">
        <v>3525</v>
      </c>
      <c r="AA89" s="354">
        <v>730000</v>
      </c>
      <c r="AB89" s="352"/>
      <c r="AC89" s="355"/>
      <c r="AD89"/>
      <c r="AE89"/>
    </row>
    <row r="90" spans="1:31" s="5" customFormat="1">
      <c r="A90" s="462" t="s">
        <v>834</v>
      </c>
      <c r="B90" s="334">
        <f t="shared" ref="B90:O90" si="30">ROUND(B82*B180*50%,0)</f>
        <v>0</v>
      </c>
      <c r="C90" s="334">
        <f t="shared" si="30"/>
        <v>9300000</v>
      </c>
      <c r="D90" s="334">
        <f t="shared" si="30"/>
        <v>0</v>
      </c>
      <c r="E90" s="334">
        <f t="shared" si="30"/>
        <v>2750000</v>
      </c>
      <c r="F90" s="334">
        <f t="shared" si="30"/>
        <v>0</v>
      </c>
      <c r="G90" s="334">
        <f t="shared" si="30"/>
        <v>0</v>
      </c>
      <c r="H90" s="334">
        <f t="shared" si="30"/>
        <v>255835125</v>
      </c>
      <c r="I90" s="334">
        <f t="shared" si="30"/>
        <v>0</v>
      </c>
      <c r="J90" s="334">
        <f t="shared" si="30"/>
        <v>0</v>
      </c>
      <c r="K90" s="334">
        <f t="shared" si="30"/>
        <v>0</v>
      </c>
      <c r="L90" s="334">
        <f t="shared" si="30"/>
        <v>0</v>
      </c>
      <c r="M90" s="334">
        <f t="shared" si="30"/>
        <v>0</v>
      </c>
      <c r="N90" s="334">
        <f t="shared" si="30"/>
        <v>6000000</v>
      </c>
      <c r="O90" s="334">
        <f t="shared" si="30"/>
        <v>0</v>
      </c>
      <c r="P90" s="339">
        <f>SUM(B90:O90)-J90</f>
        <v>273885125</v>
      </c>
      <c r="Q90"/>
      <c r="R90" s="341"/>
      <c r="S90" s="341"/>
      <c r="T90" s="341"/>
      <c r="U90" s="341"/>
      <c r="V90" s="350" t="s">
        <v>2</v>
      </c>
      <c r="W90" s="351">
        <v>91999913</v>
      </c>
      <c r="X90" s="352" t="s">
        <v>769</v>
      </c>
      <c r="Y90" s="352" t="s">
        <v>1460</v>
      </c>
      <c r="Z90" s="353">
        <v>3525</v>
      </c>
      <c r="AA90" s="354">
        <v>730000</v>
      </c>
      <c r="AB90" s="352"/>
      <c r="AC90" s="355"/>
      <c r="AD90"/>
      <c r="AE90"/>
    </row>
    <row r="91" spans="1:31" s="5" customFormat="1">
      <c r="A91" s="462"/>
      <c r="B91" s="334"/>
      <c r="C91" s="334"/>
      <c r="D91" s="334"/>
      <c r="E91" s="334"/>
      <c r="F91" s="334"/>
      <c r="G91" s="334"/>
      <c r="H91" s="334"/>
      <c r="I91" s="334"/>
      <c r="J91" s="334"/>
      <c r="K91" s="334"/>
      <c r="L91" s="334"/>
      <c r="M91" s="334"/>
      <c r="N91" s="334"/>
      <c r="O91" s="334"/>
      <c r="P91" s="339"/>
      <c r="Q91"/>
      <c r="R91"/>
      <c r="S91"/>
      <c r="T91"/>
      <c r="U91"/>
      <c r="V91" s="42"/>
      <c r="W91" s="43"/>
      <c r="X91" s="13"/>
      <c r="Y91" s="13"/>
      <c r="Z91" s="61"/>
      <c r="AA91" s="356"/>
      <c r="AB91" s="13"/>
      <c r="AC91" s="18"/>
      <c r="AD91"/>
      <c r="AE91"/>
    </row>
    <row r="92" spans="1:31" s="5" customFormat="1" ht="15.6">
      <c r="A92" s="404" t="s">
        <v>691</v>
      </c>
      <c r="B92" s="325"/>
      <c r="C92" s="326"/>
      <c r="D92" s="326"/>
      <c r="E92" s="334"/>
      <c r="F92" s="326"/>
      <c r="G92" s="326"/>
      <c r="H92" s="326"/>
      <c r="I92" s="326"/>
      <c r="J92" s="326"/>
      <c r="K92" s="334"/>
      <c r="L92" s="334"/>
      <c r="M92" s="334"/>
      <c r="N92" s="334"/>
      <c r="O92" s="334"/>
      <c r="P92" s="339"/>
      <c r="Q92"/>
      <c r="R92"/>
      <c r="S92"/>
      <c r="T92"/>
      <c r="U92"/>
      <c r="V92" s="42"/>
      <c r="W92" s="43"/>
      <c r="X92" s="13"/>
      <c r="Y92" s="13"/>
      <c r="Z92" s="61"/>
      <c r="AA92" s="356"/>
      <c r="AB92" s="13"/>
      <c r="AC92" s="18"/>
      <c r="AD92"/>
      <c r="AE92"/>
    </row>
    <row r="93" spans="1:31" s="5" customFormat="1">
      <c r="A93" s="483" t="s">
        <v>1100</v>
      </c>
      <c r="B93" s="484"/>
      <c r="C93" s="484"/>
      <c r="D93" s="484"/>
      <c r="E93" s="484"/>
      <c r="F93" s="484"/>
      <c r="G93" s="484"/>
      <c r="H93" s="484"/>
      <c r="I93" s="484"/>
      <c r="J93" s="484"/>
      <c r="K93" s="484"/>
      <c r="L93" s="484"/>
      <c r="M93" s="484">
        <f>ROUND('UAT9-Sep'!M115*AC112*100%,0)+ROUND('UAT9-Sep'!M115*AC113*100%,0)+ROUND('UAT9-Sep'!M115*AC114*100%,0)</f>
        <v>1211550</v>
      </c>
      <c r="N93" s="484"/>
      <c r="O93" s="432"/>
      <c r="P93" s="657">
        <f t="shared" ref="P93:P115" si="31">SUM(B93:O93)</f>
        <v>1211550</v>
      </c>
      <c r="Q93"/>
      <c r="R93"/>
      <c r="S93"/>
      <c r="T93"/>
      <c r="U93"/>
      <c r="V93" s="42"/>
      <c r="W93" s="43"/>
      <c r="X93" s="13"/>
      <c r="Y93" s="13"/>
      <c r="Z93" s="61"/>
      <c r="AA93" s="356"/>
      <c r="AB93" s="13"/>
      <c r="AC93" s="18"/>
      <c r="AD93"/>
      <c r="AE93"/>
    </row>
    <row r="94" spans="1:31" s="5" customFormat="1">
      <c r="A94" s="509" t="s">
        <v>724</v>
      </c>
      <c r="B94" s="484"/>
      <c r="C94" s="484"/>
      <c r="D94" s="484"/>
      <c r="E94" s="484"/>
      <c r="F94" s="484"/>
      <c r="G94" s="484"/>
      <c r="H94" s="484"/>
      <c r="I94" s="484"/>
      <c r="J94" s="484"/>
      <c r="K94" s="484"/>
      <c r="L94" s="484"/>
      <c r="M94" s="484">
        <f>ROUND('UAT9-Sep'!M115*AC112*100%,0)+ROUND('UAT9-Sep'!M115*AC113*100%,0)+ROUND('UAT9-Sep'!M115*AC114*100%,0)</f>
        <v>1211550</v>
      </c>
      <c r="N94" s="484"/>
      <c r="O94" s="485"/>
      <c r="P94" s="486">
        <f t="shared" si="31"/>
        <v>1211550</v>
      </c>
      <c r="Q94"/>
      <c r="R94"/>
      <c r="S94"/>
      <c r="T94"/>
      <c r="U94"/>
      <c r="V94" s="24" t="s">
        <v>57</v>
      </c>
      <c r="W94" s="37" t="s">
        <v>67</v>
      </c>
      <c r="X94" s="37" t="s">
        <v>69</v>
      </c>
      <c r="Y94" s="37" t="s">
        <v>70</v>
      </c>
      <c r="Z94" s="62" t="s">
        <v>56</v>
      </c>
      <c r="AA94" s="357" t="s">
        <v>54</v>
      </c>
      <c r="AB94" s="37" t="s">
        <v>58</v>
      </c>
      <c r="AC94" s="38" t="s">
        <v>59</v>
      </c>
      <c r="AD94"/>
      <c r="AE94"/>
    </row>
    <row r="95" spans="1:31" s="5" customFormat="1">
      <c r="A95" s="509" t="s">
        <v>759</v>
      </c>
      <c r="B95" s="530"/>
      <c r="C95" s="530"/>
      <c r="D95" s="530"/>
      <c r="E95" s="530"/>
      <c r="F95" s="530"/>
      <c r="G95" s="530"/>
      <c r="H95" s="530"/>
      <c r="I95" s="530"/>
      <c r="J95" s="530"/>
      <c r="K95" s="530"/>
      <c r="L95" s="530"/>
      <c r="M95" s="530"/>
      <c r="N95" s="530"/>
      <c r="O95" s="537"/>
      <c r="P95" s="534">
        <f t="shared" si="31"/>
        <v>0</v>
      </c>
      <c r="Q95"/>
      <c r="R95"/>
      <c r="S95"/>
      <c r="T95"/>
      <c r="U95"/>
      <c r="V95" s="505" t="s">
        <v>806</v>
      </c>
      <c r="W95" s="506">
        <v>91999904</v>
      </c>
      <c r="X95" s="507" t="s">
        <v>794</v>
      </c>
      <c r="Y95" s="507" t="s">
        <v>794</v>
      </c>
      <c r="Z95" s="544">
        <v>3220</v>
      </c>
      <c r="AA95" s="362">
        <v>30000000</v>
      </c>
      <c r="AB95" s="545"/>
      <c r="AC95" s="546"/>
      <c r="AD95"/>
      <c r="AE95"/>
    </row>
    <row r="96" spans="1:31" s="5" customFormat="1">
      <c r="A96" s="509" t="s">
        <v>760</v>
      </c>
      <c r="B96" s="530"/>
      <c r="C96" s="530"/>
      <c r="D96" s="530"/>
      <c r="E96" s="530"/>
      <c r="F96" s="530"/>
      <c r="G96" s="530"/>
      <c r="H96" s="530"/>
      <c r="I96" s="530"/>
      <c r="J96" s="530"/>
      <c r="K96" s="530"/>
      <c r="L96" s="530"/>
      <c r="M96" s="530"/>
      <c r="N96" s="530"/>
      <c r="O96" s="537"/>
      <c r="P96" s="534">
        <f t="shared" si="31"/>
        <v>0</v>
      </c>
      <c r="Q96"/>
      <c r="R96"/>
      <c r="S96"/>
      <c r="T96"/>
      <c r="U96"/>
      <c r="V96" s="505" t="s">
        <v>673</v>
      </c>
      <c r="W96" s="506">
        <v>91999907</v>
      </c>
      <c r="X96" s="507" t="s">
        <v>794</v>
      </c>
      <c r="Y96" s="507" t="s">
        <v>794</v>
      </c>
      <c r="Z96" s="544">
        <v>3220</v>
      </c>
      <c r="AA96" s="362">
        <v>50000000</v>
      </c>
      <c r="AB96" s="545"/>
      <c r="AC96" s="546"/>
      <c r="AD96"/>
      <c r="AE96"/>
    </row>
    <row r="97" spans="1:32" s="5" customFormat="1">
      <c r="A97" s="509" t="s">
        <v>761</v>
      </c>
      <c r="B97" s="530"/>
      <c r="C97" s="530"/>
      <c r="D97" s="530"/>
      <c r="E97" s="530"/>
      <c r="F97" s="530"/>
      <c r="G97" s="530"/>
      <c r="H97" s="530"/>
      <c r="I97" s="530"/>
      <c r="J97" s="530"/>
      <c r="K97" s="530"/>
      <c r="L97" s="530"/>
      <c r="M97" s="530"/>
      <c r="N97" s="530"/>
      <c r="O97" s="537"/>
      <c r="P97" s="534">
        <f t="shared" si="31"/>
        <v>0</v>
      </c>
      <c r="Q97"/>
      <c r="R97"/>
      <c r="S97"/>
      <c r="T97"/>
      <c r="U97"/>
      <c r="V97" s="505" t="s">
        <v>806</v>
      </c>
      <c r="W97" s="506">
        <v>91999910</v>
      </c>
      <c r="X97" s="507" t="s">
        <v>794</v>
      </c>
      <c r="Y97" s="507" t="s">
        <v>794</v>
      </c>
      <c r="Z97" s="544">
        <v>3221</v>
      </c>
      <c r="AA97" s="362">
        <v>8000000</v>
      </c>
      <c r="AB97" s="545"/>
      <c r="AC97" s="546"/>
      <c r="AD97"/>
      <c r="AE97"/>
    </row>
    <row r="98" spans="1:32" s="5" customFormat="1">
      <c r="A98" s="509" t="s">
        <v>1419</v>
      </c>
      <c r="B98" s="530"/>
      <c r="C98" s="530"/>
      <c r="D98" s="530"/>
      <c r="E98" s="530"/>
      <c r="F98" s="530"/>
      <c r="G98" s="530"/>
      <c r="H98" s="530"/>
      <c r="I98" s="530"/>
      <c r="J98" s="530"/>
      <c r="K98" s="530"/>
      <c r="L98" s="530"/>
      <c r="M98" s="530"/>
      <c r="N98" s="530"/>
      <c r="O98" s="537"/>
      <c r="P98" s="534">
        <f t="shared" si="31"/>
        <v>0</v>
      </c>
      <c r="Q98"/>
      <c r="R98"/>
      <c r="S98"/>
      <c r="T98"/>
      <c r="U98"/>
      <c r="V98" s="505" t="s">
        <v>806</v>
      </c>
      <c r="W98" s="506">
        <v>91999904</v>
      </c>
      <c r="X98" s="507" t="s">
        <v>794</v>
      </c>
      <c r="Y98" s="507" t="s">
        <v>794</v>
      </c>
      <c r="Z98" s="544">
        <v>3230</v>
      </c>
      <c r="AA98" s="362"/>
      <c r="AB98" s="545">
        <v>1</v>
      </c>
      <c r="AC98" s="546"/>
      <c r="AD98" s="287"/>
      <c r="AE98"/>
    </row>
    <row r="99" spans="1:32" s="5" customFormat="1">
      <c r="A99" s="509" t="s">
        <v>1420</v>
      </c>
      <c r="B99" s="530"/>
      <c r="C99" s="530"/>
      <c r="D99" s="530"/>
      <c r="E99" s="530"/>
      <c r="F99" s="530"/>
      <c r="G99" s="530"/>
      <c r="H99" s="530"/>
      <c r="I99" s="530"/>
      <c r="J99" s="530"/>
      <c r="K99" s="530"/>
      <c r="L99" s="530"/>
      <c r="M99" s="530"/>
      <c r="N99" s="530"/>
      <c r="O99" s="537"/>
      <c r="P99" s="534">
        <f t="shared" si="31"/>
        <v>0</v>
      </c>
      <c r="Q99"/>
      <c r="R99"/>
      <c r="S99"/>
      <c r="T99"/>
      <c r="U99"/>
      <c r="V99" s="505" t="s">
        <v>806</v>
      </c>
      <c r="W99" s="506">
        <v>91999907</v>
      </c>
      <c r="X99" s="507" t="s">
        <v>794</v>
      </c>
      <c r="Y99" s="507" t="s">
        <v>794</v>
      </c>
      <c r="Z99" s="544">
        <v>3230</v>
      </c>
      <c r="AA99" s="362"/>
      <c r="AB99" s="545">
        <v>1</v>
      </c>
      <c r="AC99" s="546"/>
      <c r="AD99" s="287"/>
      <c r="AE99"/>
    </row>
    <row r="100" spans="1:32" s="5" customFormat="1">
      <c r="A100" s="509" t="s">
        <v>1421</v>
      </c>
      <c r="B100" s="530"/>
      <c r="C100" s="530"/>
      <c r="D100" s="530"/>
      <c r="E100" s="530"/>
      <c r="F100" s="530"/>
      <c r="G100" s="530"/>
      <c r="H100" s="530"/>
      <c r="I100" s="530"/>
      <c r="J100" s="530"/>
      <c r="K100" s="530"/>
      <c r="L100" s="530"/>
      <c r="M100" s="530"/>
      <c r="N100" s="530"/>
      <c r="O100" s="537"/>
      <c r="P100" s="534">
        <f t="shared" si="31"/>
        <v>0</v>
      </c>
      <c r="Q100"/>
      <c r="R100"/>
      <c r="S100"/>
      <c r="T100"/>
      <c r="U100"/>
      <c r="V100" s="505" t="s">
        <v>806</v>
      </c>
      <c r="W100" s="506">
        <v>91999910</v>
      </c>
      <c r="X100" s="507" t="s">
        <v>794</v>
      </c>
      <c r="Y100" s="507" t="s">
        <v>794</v>
      </c>
      <c r="Z100" s="544">
        <v>3231</v>
      </c>
      <c r="AA100" s="362"/>
      <c r="AB100" s="545">
        <v>1</v>
      </c>
      <c r="AC100" s="546"/>
      <c r="AD100" s="287"/>
      <c r="AE100"/>
    </row>
    <row r="101" spans="1:32" s="5" customFormat="1">
      <c r="A101" s="509" t="s">
        <v>1422</v>
      </c>
      <c r="B101" s="530"/>
      <c r="C101" s="530"/>
      <c r="D101" s="530"/>
      <c r="E101" s="530"/>
      <c r="F101" s="530"/>
      <c r="G101" s="530"/>
      <c r="H101" s="530"/>
      <c r="I101" s="530"/>
      <c r="J101" s="530"/>
      <c r="K101" s="530"/>
      <c r="L101" s="530"/>
      <c r="M101" s="530"/>
      <c r="N101" s="530"/>
      <c r="O101" s="537"/>
      <c r="P101" s="534">
        <f t="shared" si="31"/>
        <v>0</v>
      </c>
      <c r="Q101"/>
      <c r="R101"/>
      <c r="S101"/>
      <c r="T101"/>
      <c r="U101"/>
      <c r="V101" s="505" t="s">
        <v>673</v>
      </c>
      <c r="W101" s="506">
        <v>91999913</v>
      </c>
      <c r="X101" s="507" t="s">
        <v>794</v>
      </c>
      <c r="Y101" s="507" t="s">
        <v>794</v>
      </c>
      <c r="Z101" s="544">
        <v>3297</v>
      </c>
      <c r="AA101" s="362">
        <v>9000000</v>
      </c>
      <c r="AB101" s="545"/>
      <c r="AC101" s="546"/>
      <c r="AD101" s="287"/>
      <c r="AE101"/>
    </row>
    <row r="102" spans="1:32" s="5" customFormat="1">
      <c r="A102" s="509" t="s">
        <v>1423</v>
      </c>
      <c r="B102" s="530"/>
      <c r="C102" s="530"/>
      <c r="D102" s="530"/>
      <c r="E102" s="530"/>
      <c r="F102" s="530"/>
      <c r="G102" s="530"/>
      <c r="H102" s="530"/>
      <c r="I102" s="530"/>
      <c r="J102" s="530"/>
      <c r="K102" s="530"/>
      <c r="L102" s="530"/>
      <c r="M102" s="530"/>
      <c r="N102" s="530"/>
      <c r="O102" s="537"/>
      <c r="P102" s="534">
        <f t="shared" si="31"/>
        <v>0</v>
      </c>
      <c r="Q102"/>
      <c r="R102"/>
      <c r="S102"/>
      <c r="T102"/>
      <c r="U102"/>
      <c r="V102" s="505" t="s">
        <v>673</v>
      </c>
      <c r="W102" s="506">
        <v>91999902</v>
      </c>
      <c r="X102" s="507" t="s">
        <v>794</v>
      </c>
      <c r="Y102" s="507" t="s">
        <v>794</v>
      </c>
      <c r="Z102" s="544">
        <v>3298</v>
      </c>
      <c r="AA102" s="362">
        <v>8500000</v>
      </c>
      <c r="AB102" s="545"/>
      <c r="AC102" s="546"/>
      <c r="AD102" s="287"/>
      <c r="AE102"/>
    </row>
    <row r="103" spans="1:32" s="5" customFormat="1">
      <c r="A103" s="509" t="s">
        <v>1424</v>
      </c>
      <c r="B103" s="530"/>
      <c r="C103" s="530"/>
      <c r="D103" s="530"/>
      <c r="E103" s="530"/>
      <c r="F103" s="530"/>
      <c r="G103" s="530"/>
      <c r="H103" s="530"/>
      <c r="I103" s="530"/>
      <c r="J103" s="530"/>
      <c r="K103" s="530"/>
      <c r="L103" s="530"/>
      <c r="M103" s="530"/>
      <c r="N103" s="530"/>
      <c r="O103" s="537"/>
      <c r="P103" s="534">
        <f t="shared" si="31"/>
        <v>0</v>
      </c>
      <c r="Q103"/>
      <c r="R103"/>
      <c r="S103"/>
      <c r="T103"/>
      <c r="U103"/>
      <c r="V103" s="42"/>
      <c r="W103" s="43"/>
      <c r="X103" s="13"/>
      <c r="Y103" s="13"/>
      <c r="Z103" s="61"/>
      <c r="AA103" s="356"/>
      <c r="AB103" s="13"/>
      <c r="AC103" s="18"/>
      <c r="AD103" s="287"/>
      <c r="AE103"/>
    </row>
    <row r="104" spans="1:32" s="5" customFormat="1">
      <c r="A104" s="509" t="s">
        <v>1425</v>
      </c>
      <c r="B104" s="530"/>
      <c r="C104" s="530"/>
      <c r="D104" s="530"/>
      <c r="E104" s="530"/>
      <c r="F104" s="530"/>
      <c r="G104" s="530"/>
      <c r="H104" s="530"/>
      <c r="I104" s="530"/>
      <c r="J104" s="530"/>
      <c r="K104" s="530"/>
      <c r="L104" s="530"/>
      <c r="M104" s="530"/>
      <c r="N104" s="530"/>
      <c r="O104" s="537"/>
      <c r="P104" s="534">
        <f t="shared" si="31"/>
        <v>0</v>
      </c>
      <c r="Q104"/>
      <c r="R104"/>
      <c r="S104"/>
      <c r="T104"/>
      <c r="U104"/>
      <c r="V104" s="42"/>
      <c r="W104" s="43"/>
      <c r="X104" s="13"/>
      <c r="Y104" s="13"/>
      <c r="Z104" s="61"/>
      <c r="AA104" s="356"/>
      <c r="AB104" s="13"/>
      <c r="AC104" s="18"/>
      <c r="AD104" s="287"/>
      <c r="AE104"/>
    </row>
    <row r="105" spans="1:32" s="5" customFormat="1">
      <c r="A105" s="509" t="s">
        <v>765</v>
      </c>
      <c r="B105" s="530"/>
      <c r="C105" s="530"/>
      <c r="D105" s="530"/>
      <c r="E105" s="530"/>
      <c r="F105" s="530"/>
      <c r="G105" s="530"/>
      <c r="H105" s="530"/>
      <c r="I105" s="530"/>
      <c r="J105" s="530"/>
      <c r="K105" s="530"/>
      <c r="L105" s="530"/>
      <c r="M105" s="530"/>
      <c r="N105" s="530"/>
      <c r="O105" s="537"/>
      <c r="P105" s="534">
        <f t="shared" si="31"/>
        <v>0</v>
      </c>
      <c r="Q105"/>
      <c r="R105"/>
      <c r="S105"/>
      <c r="T105"/>
      <c r="U105"/>
      <c r="V105" s="42"/>
      <c r="W105" s="43"/>
      <c r="X105" s="13"/>
      <c r="Y105" s="13"/>
      <c r="Z105" s="61"/>
      <c r="AA105" s="356"/>
      <c r="AB105" s="13"/>
      <c r="AC105" s="18"/>
      <c r="AD105" s="287"/>
      <c r="AE105"/>
    </row>
    <row r="106" spans="1:32" s="5" customFormat="1">
      <c r="A106" s="509" t="s">
        <v>1426</v>
      </c>
      <c r="B106" s="530"/>
      <c r="C106" s="530"/>
      <c r="D106" s="530"/>
      <c r="E106" s="530"/>
      <c r="F106" s="530"/>
      <c r="G106" s="530"/>
      <c r="H106" s="530"/>
      <c r="I106" s="530"/>
      <c r="J106" s="530"/>
      <c r="K106" s="530"/>
      <c r="L106" s="530"/>
      <c r="M106" s="530"/>
      <c r="N106" s="530"/>
      <c r="O106" s="537"/>
      <c r="P106" s="534">
        <f t="shared" si="31"/>
        <v>0</v>
      </c>
      <c r="Q106"/>
      <c r="R106"/>
      <c r="S106"/>
      <c r="T106"/>
      <c r="U106"/>
      <c r="V106" s="24" t="s">
        <v>57</v>
      </c>
      <c r="W106" s="37" t="s">
        <v>67</v>
      </c>
      <c r="X106" s="37" t="s">
        <v>69</v>
      </c>
      <c r="Y106" s="37" t="s">
        <v>70</v>
      </c>
      <c r="Z106" s="62" t="s">
        <v>424</v>
      </c>
      <c r="AA106" s="357" t="s">
        <v>425</v>
      </c>
      <c r="AB106" s="37" t="s">
        <v>56</v>
      </c>
      <c r="AC106" s="38"/>
      <c r="AD106" s="287"/>
      <c r="AE106"/>
    </row>
    <row r="107" spans="1:32" s="5" customFormat="1">
      <c r="A107" s="509" t="s">
        <v>1427</v>
      </c>
      <c r="B107" s="530"/>
      <c r="C107" s="530"/>
      <c r="D107" s="530"/>
      <c r="E107" s="530"/>
      <c r="F107" s="530"/>
      <c r="G107" s="530"/>
      <c r="H107" s="530"/>
      <c r="I107" s="530"/>
      <c r="J107" s="530"/>
      <c r="K107" s="530"/>
      <c r="L107" s="530"/>
      <c r="M107" s="530"/>
      <c r="N107" s="530"/>
      <c r="O107" s="537"/>
      <c r="P107" s="534">
        <f t="shared" si="31"/>
        <v>0</v>
      </c>
      <c r="Q107"/>
      <c r="R107"/>
      <c r="S107"/>
      <c r="T107"/>
      <c r="U107"/>
      <c r="V107" s="505" t="s">
        <v>423</v>
      </c>
      <c r="W107" s="506">
        <v>91999906</v>
      </c>
      <c r="X107" s="507" t="s">
        <v>794</v>
      </c>
      <c r="Y107" s="507" t="s">
        <v>794</v>
      </c>
      <c r="Z107" s="286">
        <v>0.375</v>
      </c>
      <c r="AA107" s="286">
        <v>0.47916666666666669</v>
      </c>
      <c r="AB107" s="284">
        <v>9180</v>
      </c>
      <c r="AC107" s="467">
        <v>2.5</v>
      </c>
      <c r="AD107" s="287"/>
      <c r="AE107" s="81"/>
      <c r="AF107" s="80"/>
    </row>
    <row r="108" spans="1:32">
      <c r="A108" s="509" t="s">
        <v>1428</v>
      </c>
      <c r="B108" s="530"/>
      <c r="C108" s="530"/>
      <c r="D108" s="530"/>
      <c r="E108" s="530"/>
      <c r="F108" s="530"/>
      <c r="G108" s="530"/>
      <c r="H108" s="530"/>
      <c r="I108" s="530"/>
      <c r="J108" s="530"/>
      <c r="K108" s="530"/>
      <c r="L108" s="530"/>
      <c r="M108" s="530"/>
      <c r="N108" s="530"/>
      <c r="O108" s="537"/>
      <c r="P108" s="534">
        <f t="shared" si="31"/>
        <v>0</v>
      </c>
      <c r="V108" s="505" t="s">
        <v>422</v>
      </c>
      <c r="W108" s="506">
        <v>91999906</v>
      </c>
      <c r="X108" s="507" t="s">
        <v>796</v>
      </c>
      <c r="Y108" s="507" t="s">
        <v>796</v>
      </c>
      <c r="Z108" s="286">
        <v>0.375</v>
      </c>
      <c r="AA108" s="286">
        <v>0.47916666666666669</v>
      </c>
      <c r="AB108" s="284">
        <v>9180</v>
      </c>
      <c r="AC108" s="467">
        <v>2.5</v>
      </c>
      <c r="AD108" s="287"/>
      <c r="AE108" s="81"/>
      <c r="AF108" s="81"/>
    </row>
    <row r="109" spans="1:32">
      <c r="A109" s="509" t="s">
        <v>1429</v>
      </c>
      <c r="B109" s="530"/>
      <c r="C109" s="530"/>
      <c r="D109" s="530"/>
      <c r="E109" s="530">
        <f>AD119</f>
        <v>168</v>
      </c>
      <c r="F109" s="530"/>
      <c r="G109" s="530"/>
      <c r="H109" s="530">
        <f>AD120</f>
        <v>76</v>
      </c>
      <c r="I109" s="530"/>
      <c r="J109" s="530"/>
      <c r="K109" s="530"/>
      <c r="L109" s="530"/>
      <c r="M109" s="530"/>
      <c r="N109" s="530"/>
      <c r="O109" s="537"/>
      <c r="P109" s="534">
        <f t="shared" si="31"/>
        <v>244</v>
      </c>
      <c r="V109" s="505" t="s">
        <v>422</v>
      </c>
      <c r="W109" s="506">
        <v>91999906</v>
      </c>
      <c r="X109" s="507" t="s">
        <v>797</v>
      </c>
      <c r="Y109" s="507" t="s">
        <v>797</v>
      </c>
      <c r="Z109" s="286">
        <v>0.375</v>
      </c>
      <c r="AA109" s="286">
        <v>0.47916666666666669</v>
      </c>
      <c r="AB109" s="284">
        <v>9180</v>
      </c>
      <c r="AC109" s="467">
        <v>2.5</v>
      </c>
      <c r="AD109" s="287"/>
      <c r="AE109" s="81"/>
      <c r="AF109" s="81"/>
    </row>
    <row r="110" spans="1:32">
      <c r="A110" s="509" t="s">
        <v>1430</v>
      </c>
      <c r="B110" s="530"/>
      <c r="C110" s="530"/>
      <c r="D110" s="530"/>
      <c r="E110" s="530"/>
      <c r="F110" s="530"/>
      <c r="G110" s="530"/>
      <c r="H110" s="530"/>
      <c r="I110" s="530"/>
      <c r="J110" s="530"/>
      <c r="K110" s="530"/>
      <c r="L110" s="530"/>
      <c r="M110" s="530"/>
      <c r="N110" s="530"/>
      <c r="O110" s="537"/>
      <c r="P110" s="534">
        <f t="shared" si="31"/>
        <v>0</v>
      </c>
      <c r="V110" s="505" t="s">
        <v>422</v>
      </c>
      <c r="W110" s="506">
        <v>91999914</v>
      </c>
      <c r="X110" s="507" t="s">
        <v>795</v>
      </c>
      <c r="Y110" s="507" t="s">
        <v>795</v>
      </c>
      <c r="Z110" s="286">
        <v>0.375</v>
      </c>
      <c r="AA110" s="286">
        <v>0.47916666666666669</v>
      </c>
      <c r="AB110" s="284">
        <v>9180</v>
      </c>
      <c r="AC110" s="467">
        <v>2.5</v>
      </c>
      <c r="AD110" s="287"/>
      <c r="AE110" s="81"/>
      <c r="AF110" s="81"/>
    </row>
    <row r="111" spans="1:32">
      <c r="A111" s="509" t="s">
        <v>1431</v>
      </c>
      <c r="B111" s="530"/>
      <c r="C111" s="530"/>
      <c r="D111" s="530"/>
      <c r="E111" s="530"/>
      <c r="F111" s="530"/>
      <c r="G111" s="530"/>
      <c r="H111" s="530"/>
      <c r="I111" s="530"/>
      <c r="J111" s="530"/>
      <c r="K111" s="530"/>
      <c r="L111" s="530"/>
      <c r="M111" s="530"/>
      <c r="N111" s="530"/>
      <c r="O111" s="537"/>
      <c r="P111" s="534">
        <f t="shared" si="31"/>
        <v>0</v>
      </c>
      <c r="V111" s="505" t="s">
        <v>422</v>
      </c>
      <c r="W111" s="506">
        <v>91999914</v>
      </c>
      <c r="X111" s="508" t="s">
        <v>798</v>
      </c>
      <c r="Y111" s="508" t="s">
        <v>798</v>
      </c>
      <c r="Z111" s="286">
        <v>0.375</v>
      </c>
      <c r="AA111" s="286">
        <v>0.47916666666666669</v>
      </c>
      <c r="AB111" s="284">
        <v>9180</v>
      </c>
      <c r="AC111" s="467">
        <v>2.5</v>
      </c>
      <c r="AD111" s="287"/>
      <c r="AE111" s="81"/>
      <c r="AF111" s="81"/>
    </row>
    <row r="112" spans="1:32">
      <c r="A112" s="509" t="s">
        <v>1432</v>
      </c>
      <c r="B112" s="530"/>
      <c r="C112" s="530"/>
      <c r="D112" s="530"/>
      <c r="E112" s="530"/>
      <c r="F112" s="530"/>
      <c r="G112" s="530"/>
      <c r="H112" s="530"/>
      <c r="I112" s="530"/>
      <c r="J112" s="530"/>
      <c r="K112" s="530"/>
      <c r="L112" s="530"/>
      <c r="M112" s="530"/>
      <c r="N112" s="530"/>
      <c r="O112" s="537"/>
      <c r="P112" s="534">
        <f t="shared" si="31"/>
        <v>0</v>
      </c>
      <c r="V112" s="496" t="s">
        <v>422</v>
      </c>
      <c r="W112" s="500">
        <v>91999912</v>
      </c>
      <c r="X112" s="435" t="s">
        <v>799</v>
      </c>
      <c r="Y112" s="435" t="s">
        <v>799</v>
      </c>
      <c r="Z112" s="497">
        <v>0.33333333333333331</v>
      </c>
      <c r="AA112" s="497">
        <v>0.75</v>
      </c>
      <c r="AB112" s="498">
        <v>9000</v>
      </c>
      <c r="AC112" s="499">
        <v>10</v>
      </c>
      <c r="AD112" s="287"/>
      <c r="AE112" s="81"/>
      <c r="AF112" s="81"/>
    </row>
    <row r="113" spans="1:32">
      <c r="A113" s="509" t="s">
        <v>1433</v>
      </c>
      <c r="B113" s="530"/>
      <c r="C113" s="530"/>
      <c r="D113" s="530"/>
      <c r="E113" s="530"/>
      <c r="F113" s="530"/>
      <c r="G113" s="530"/>
      <c r="H113" s="530"/>
      <c r="I113" s="530"/>
      <c r="J113" s="530"/>
      <c r="K113" s="530"/>
      <c r="L113" s="530"/>
      <c r="M113" s="530"/>
      <c r="N113" s="530"/>
      <c r="O113" s="537"/>
      <c r="P113" s="534">
        <f t="shared" si="31"/>
        <v>0</v>
      </c>
      <c r="V113" s="496" t="s">
        <v>422</v>
      </c>
      <c r="W113" s="500">
        <v>91999912</v>
      </c>
      <c r="X113" s="435" t="s">
        <v>800</v>
      </c>
      <c r="Y113" s="435" t="s">
        <v>800</v>
      </c>
      <c r="Z113" s="497">
        <v>0.33333333333333331</v>
      </c>
      <c r="AA113" s="497">
        <v>0.75</v>
      </c>
      <c r="AB113" s="498">
        <v>9000</v>
      </c>
      <c r="AC113" s="499">
        <v>10</v>
      </c>
      <c r="AD113" s="287"/>
      <c r="AE113" s="81"/>
      <c r="AF113" s="81"/>
    </row>
    <row r="114" spans="1:32">
      <c r="A114" s="509" t="s">
        <v>1434</v>
      </c>
      <c r="B114" s="530"/>
      <c r="C114" s="530"/>
      <c r="D114" s="530"/>
      <c r="E114" s="530"/>
      <c r="F114" s="530"/>
      <c r="G114" s="530"/>
      <c r="H114" s="530"/>
      <c r="I114" s="530"/>
      <c r="J114" s="530"/>
      <c r="K114" s="530"/>
      <c r="L114" s="530"/>
      <c r="M114" s="530"/>
      <c r="N114" s="530"/>
      <c r="O114" s="537"/>
      <c r="P114" s="534">
        <f t="shared" si="31"/>
        <v>0</v>
      </c>
      <c r="V114" s="496" t="s">
        <v>422</v>
      </c>
      <c r="W114" s="500">
        <v>91999912</v>
      </c>
      <c r="X114" s="435" t="s">
        <v>801</v>
      </c>
      <c r="Y114" s="435" t="s">
        <v>801</v>
      </c>
      <c r="Z114" s="497">
        <v>0.33333333333333331</v>
      </c>
      <c r="AA114" s="497">
        <v>0.75</v>
      </c>
      <c r="AB114" s="498">
        <v>9000</v>
      </c>
      <c r="AC114" s="499">
        <v>10</v>
      </c>
      <c r="AD114" s="287"/>
      <c r="AE114" s="81"/>
      <c r="AF114" s="81"/>
    </row>
    <row r="115" spans="1:32">
      <c r="A115" s="509" t="s">
        <v>1435</v>
      </c>
      <c r="B115" s="530"/>
      <c r="C115" s="530"/>
      <c r="D115" s="530"/>
      <c r="E115" s="530"/>
      <c r="F115" s="530"/>
      <c r="G115" s="530"/>
      <c r="H115" s="530"/>
      <c r="I115" s="530"/>
      <c r="J115" s="530"/>
      <c r="K115" s="530"/>
      <c r="L115" s="530"/>
      <c r="M115" s="530"/>
      <c r="N115" s="530"/>
      <c r="O115" s="537"/>
      <c r="P115" s="534">
        <f t="shared" si="31"/>
        <v>0</v>
      </c>
      <c r="V115" s="33"/>
      <c r="W115" s="45"/>
      <c r="X115" s="13"/>
      <c r="Y115" s="13"/>
      <c r="Z115" s="13"/>
      <c r="AA115" s="13"/>
      <c r="AB115" s="13"/>
      <c r="AC115" s="18"/>
      <c r="AD115" s="287"/>
      <c r="AE115" s="81"/>
      <c r="AF115" s="81"/>
    </row>
    <row r="116" spans="1:32">
      <c r="A116" s="405"/>
      <c r="B116" s="325"/>
      <c r="C116" s="326"/>
      <c r="D116" s="326"/>
      <c r="E116" s="334"/>
      <c r="F116" s="326"/>
      <c r="G116" s="326"/>
      <c r="H116" s="326"/>
      <c r="I116" s="326"/>
      <c r="J116" s="326"/>
      <c r="K116" s="334"/>
      <c r="L116" s="334"/>
      <c r="M116" s="334"/>
      <c r="N116" s="334"/>
      <c r="O116" s="395"/>
      <c r="P116" s="340"/>
      <c r="Q116" s="285"/>
      <c r="R116" s="285"/>
      <c r="S116" s="285"/>
      <c r="T116" s="285"/>
      <c r="U116" s="285"/>
      <c r="V116" s="33"/>
      <c r="W116" s="45"/>
      <c r="X116" s="13"/>
      <c r="Y116" s="13"/>
      <c r="Z116" s="13"/>
      <c r="AA116" s="13"/>
      <c r="AB116" s="13"/>
      <c r="AC116" s="18"/>
      <c r="AD116" s="287"/>
      <c r="AE116" s="81"/>
      <c r="AF116" s="81"/>
    </row>
    <row r="117" spans="1:32" s="154" customFormat="1" ht="15.6">
      <c r="A117" s="404" t="s">
        <v>483</v>
      </c>
      <c r="B117" s="325"/>
      <c r="C117" s="326"/>
      <c r="D117" s="326"/>
      <c r="E117" s="334"/>
      <c r="F117" s="326"/>
      <c r="G117" s="326"/>
      <c r="H117" s="326"/>
      <c r="I117" s="326"/>
      <c r="J117" s="326"/>
      <c r="K117" s="334"/>
      <c r="L117" s="334"/>
      <c r="M117" s="334"/>
      <c r="N117" s="334"/>
      <c r="O117" s="334"/>
      <c r="P117" s="339"/>
      <c r="Q117"/>
      <c r="R117"/>
      <c r="S117"/>
      <c r="T117"/>
      <c r="U117"/>
      <c r="V117" s="32"/>
      <c r="W117" s="44"/>
      <c r="X117" s="13"/>
      <c r="Y117" s="13"/>
      <c r="Z117" s="13"/>
      <c r="AA117" s="13"/>
      <c r="AB117" s="13"/>
      <c r="AC117" s="18"/>
      <c r="AD117" s="287"/>
      <c r="AE117" s="81"/>
      <c r="AF117" s="282"/>
    </row>
    <row r="118" spans="1:32">
      <c r="A118" s="436" t="s">
        <v>488</v>
      </c>
      <c r="B118" s="326">
        <f t="shared" ref="B118:O118" si="32">ROUND(B179*12/52/40,0)</f>
        <v>40385</v>
      </c>
      <c r="C118" s="326">
        <f t="shared" si="32"/>
        <v>35769</v>
      </c>
      <c r="D118" s="326">
        <f t="shared" si="32"/>
        <v>63462</v>
      </c>
      <c r="E118" s="326">
        <f t="shared" si="32"/>
        <v>63462</v>
      </c>
      <c r="F118" s="326">
        <f t="shared" si="32"/>
        <v>92308</v>
      </c>
      <c r="G118" s="326">
        <f t="shared" si="32"/>
        <v>428400</v>
      </c>
      <c r="H118" s="326">
        <f t="shared" si="32"/>
        <v>696150</v>
      </c>
      <c r="I118" s="326">
        <f t="shared" si="32"/>
        <v>522113</v>
      </c>
      <c r="J118" s="326">
        <f t="shared" si="32"/>
        <v>317308</v>
      </c>
      <c r="K118" s="326">
        <f t="shared" si="32"/>
        <v>57692</v>
      </c>
      <c r="L118" s="326">
        <f t="shared" si="32"/>
        <v>66346</v>
      </c>
      <c r="M118" s="326">
        <f t="shared" si="32"/>
        <v>40385</v>
      </c>
      <c r="N118" s="326">
        <f t="shared" si="32"/>
        <v>46154</v>
      </c>
      <c r="O118" s="326">
        <f t="shared" si="32"/>
        <v>34615</v>
      </c>
      <c r="P118" s="339">
        <f t="shared" ref="P118:P128" si="33">SUM(B118:O118)</f>
        <v>2504549</v>
      </c>
      <c r="V118" s="24" t="s">
        <v>57</v>
      </c>
      <c r="W118" s="37" t="s">
        <v>67</v>
      </c>
      <c r="X118" s="37" t="s">
        <v>69</v>
      </c>
      <c r="Y118" s="37" t="s">
        <v>70</v>
      </c>
      <c r="Z118" s="62" t="s">
        <v>424</v>
      </c>
      <c r="AA118" s="357" t="s">
        <v>425</v>
      </c>
      <c r="AB118" s="37" t="s">
        <v>56</v>
      </c>
      <c r="AC118" s="38"/>
      <c r="AD118" s="287" t="s">
        <v>1466</v>
      </c>
      <c r="AE118" s="282"/>
      <c r="AF118" s="81"/>
    </row>
    <row r="119" spans="1:32">
      <c r="A119" s="436" t="s">
        <v>499</v>
      </c>
      <c r="B119" s="326">
        <f t="shared" ref="B119:O119" si="34">ROUND(SUM(B179,B168,B169,B171)*12/52/40,0)</f>
        <v>72692</v>
      </c>
      <c r="C119" s="326">
        <f t="shared" si="34"/>
        <v>66692</v>
      </c>
      <c r="D119" s="326">
        <f t="shared" si="34"/>
        <v>83365</v>
      </c>
      <c r="E119" s="326">
        <f t="shared" si="34"/>
        <v>83654</v>
      </c>
      <c r="F119" s="326">
        <f t="shared" si="34"/>
        <v>112500</v>
      </c>
      <c r="G119" s="326">
        <f t="shared" si="34"/>
        <v>428400</v>
      </c>
      <c r="H119" s="326">
        <f t="shared" si="34"/>
        <v>943819</v>
      </c>
      <c r="I119" s="326">
        <f t="shared" si="34"/>
        <v>548888</v>
      </c>
      <c r="J119" s="326">
        <f t="shared" si="34"/>
        <v>432692</v>
      </c>
      <c r="K119" s="326">
        <f t="shared" si="34"/>
        <v>95192</v>
      </c>
      <c r="L119" s="326">
        <f t="shared" si="34"/>
        <v>86538</v>
      </c>
      <c r="M119" s="326">
        <f t="shared" si="34"/>
        <v>80769</v>
      </c>
      <c r="N119" s="326">
        <f t="shared" si="34"/>
        <v>82788</v>
      </c>
      <c r="O119" s="326">
        <f t="shared" si="34"/>
        <v>34615</v>
      </c>
      <c r="P119" s="339">
        <f t="shared" si="33"/>
        <v>3152604</v>
      </c>
      <c r="V119" s="496" t="s">
        <v>774</v>
      </c>
      <c r="W119" s="524">
        <v>91999904</v>
      </c>
      <c r="X119" s="525">
        <v>43709</v>
      </c>
      <c r="Y119" s="525">
        <v>43738</v>
      </c>
      <c r="Z119" s="497"/>
      <c r="AA119" s="497"/>
      <c r="AB119" s="498">
        <v>3042</v>
      </c>
      <c r="AC119" s="499">
        <v>21</v>
      </c>
      <c r="AD119" s="287">
        <f>AC119*8</f>
        <v>168</v>
      </c>
      <c r="AE119" s="81"/>
      <c r="AF119" s="81"/>
    </row>
    <row r="120" spans="1:32" s="5" customFormat="1">
      <c r="A120" s="436" t="s">
        <v>500</v>
      </c>
      <c r="B120" s="326">
        <f t="shared" ref="B120:O120" si="35">ROUND(B180/B16/8,0)</f>
        <v>38043</v>
      </c>
      <c r="C120" s="326">
        <f t="shared" si="35"/>
        <v>33696</v>
      </c>
      <c r="D120" s="326">
        <f t="shared" si="35"/>
        <v>59783</v>
      </c>
      <c r="E120" s="326">
        <f t="shared" si="35"/>
        <v>59783</v>
      </c>
      <c r="F120" s="326">
        <f t="shared" si="35"/>
        <v>86957</v>
      </c>
      <c r="G120" s="326">
        <f t="shared" si="35"/>
        <v>403565</v>
      </c>
      <c r="H120" s="326">
        <f t="shared" si="35"/>
        <v>617959</v>
      </c>
      <c r="I120" s="326">
        <f t="shared" si="35"/>
        <v>479234</v>
      </c>
      <c r="J120" s="326">
        <f t="shared" si="35"/>
        <v>298913</v>
      </c>
      <c r="K120" s="326">
        <f t="shared" si="35"/>
        <v>54348</v>
      </c>
      <c r="L120" s="326">
        <f t="shared" si="35"/>
        <v>62500</v>
      </c>
      <c r="M120" s="326">
        <f t="shared" si="35"/>
        <v>38043</v>
      </c>
      <c r="N120" s="326">
        <f t="shared" si="35"/>
        <v>43478</v>
      </c>
      <c r="O120" s="326">
        <f t="shared" si="35"/>
        <v>32609</v>
      </c>
      <c r="P120" s="339">
        <f t="shared" si="33"/>
        <v>2308911</v>
      </c>
      <c r="Q120"/>
      <c r="R120"/>
      <c r="S120"/>
      <c r="T120"/>
      <c r="U120"/>
      <c r="V120" s="496" t="s">
        <v>774</v>
      </c>
      <c r="W120" s="524">
        <v>91999907</v>
      </c>
      <c r="X120" s="525">
        <v>43709</v>
      </c>
      <c r="Y120" s="525">
        <v>43737</v>
      </c>
      <c r="Z120" s="497"/>
      <c r="AA120" s="497"/>
      <c r="AB120" s="498">
        <v>3042</v>
      </c>
      <c r="AC120" s="499">
        <v>19</v>
      </c>
      <c r="AD120" s="287">
        <f>AC120*8*0.5</f>
        <v>76</v>
      </c>
      <c r="AE120" s="81"/>
      <c r="AF120" s="80"/>
    </row>
    <row r="121" spans="1:32" s="5" customFormat="1">
      <c r="A121" s="436" t="s">
        <v>621</v>
      </c>
      <c r="B121" s="326">
        <f t="shared" ref="B121:O121" si="36">ROUND(SUM(B168:B174)/B16/8,0)</f>
        <v>86033</v>
      </c>
      <c r="C121" s="326">
        <f t="shared" si="36"/>
        <v>84728</v>
      </c>
      <c r="D121" s="326">
        <f t="shared" si="36"/>
        <v>18750</v>
      </c>
      <c r="E121" s="326">
        <f t="shared" si="36"/>
        <v>74620</v>
      </c>
      <c r="F121" s="326">
        <f t="shared" si="36"/>
        <v>74620</v>
      </c>
      <c r="G121" s="326">
        <f t="shared" si="36"/>
        <v>0</v>
      </c>
      <c r="H121" s="326">
        <f t="shared" si="36"/>
        <v>261687</v>
      </c>
      <c r="I121" s="326">
        <f t="shared" si="36"/>
        <v>53599</v>
      </c>
      <c r="J121" s="326">
        <f t="shared" si="36"/>
        <v>164293</v>
      </c>
      <c r="K121" s="326">
        <f t="shared" si="36"/>
        <v>90924</v>
      </c>
      <c r="L121" s="326">
        <f t="shared" si="36"/>
        <v>74620</v>
      </c>
      <c r="M121" s="326">
        <f t="shared" si="36"/>
        <v>93641</v>
      </c>
      <c r="N121" s="326">
        <f t="shared" si="36"/>
        <v>90109</v>
      </c>
      <c r="O121" s="326">
        <f t="shared" si="36"/>
        <v>0</v>
      </c>
      <c r="P121" s="339">
        <f t="shared" si="33"/>
        <v>1167624</v>
      </c>
      <c r="Q121"/>
      <c r="R121"/>
      <c r="S121"/>
      <c r="T121"/>
      <c r="U121"/>
      <c r="V121" s="33"/>
      <c r="W121" s="45"/>
      <c r="X121" s="13"/>
      <c r="Y121" s="13"/>
      <c r="Z121" s="13"/>
      <c r="AA121" s="13"/>
      <c r="AB121" s="13"/>
      <c r="AC121" s="18"/>
      <c r="AD121" s="287"/>
      <c r="AE121" s="81"/>
      <c r="AF121" s="80"/>
    </row>
    <row r="122" spans="1:32" s="5" customFormat="1">
      <c r="A122" s="436" t="s">
        <v>1459</v>
      </c>
      <c r="B122" s="326">
        <f t="shared" ref="B122:O122" si="37">ROUND(B167*12/52/40,0)</f>
        <v>40385</v>
      </c>
      <c r="C122" s="326">
        <f t="shared" si="37"/>
        <v>35769</v>
      </c>
      <c r="D122" s="326">
        <f t="shared" si="37"/>
        <v>63462</v>
      </c>
      <c r="E122" s="326">
        <f t="shared" si="37"/>
        <v>63462</v>
      </c>
      <c r="F122" s="326">
        <f t="shared" si="37"/>
        <v>92308</v>
      </c>
      <c r="G122" s="326">
        <f t="shared" si="37"/>
        <v>468563</v>
      </c>
      <c r="H122" s="326">
        <f t="shared" si="37"/>
        <v>736313</v>
      </c>
      <c r="I122" s="326">
        <f t="shared" si="37"/>
        <v>562275</v>
      </c>
      <c r="J122" s="326">
        <f t="shared" si="37"/>
        <v>317308</v>
      </c>
      <c r="K122" s="326">
        <f t="shared" si="37"/>
        <v>57692</v>
      </c>
      <c r="L122" s="326">
        <f t="shared" si="37"/>
        <v>66346</v>
      </c>
      <c r="M122" s="326">
        <f t="shared" si="37"/>
        <v>40385</v>
      </c>
      <c r="N122" s="326">
        <f t="shared" si="37"/>
        <v>46154</v>
      </c>
      <c r="O122" s="326">
        <f t="shared" si="37"/>
        <v>34615</v>
      </c>
      <c r="P122" s="339">
        <f t="shared" si="33"/>
        <v>2625037</v>
      </c>
      <c r="Q122"/>
      <c r="R122"/>
      <c r="S122"/>
      <c r="T122"/>
      <c r="U122"/>
      <c r="V122" s="33"/>
      <c r="W122" s="45"/>
      <c r="X122" s="13"/>
      <c r="Y122" s="13"/>
      <c r="Z122" s="13"/>
      <c r="AA122" s="13"/>
      <c r="AB122" s="13"/>
      <c r="AC122" s="18"/>
      <c r="AD122" s="287"/>
      <c r="AE122" s="81"/>
      <c r="AF122" s="80"/>
    </row>
    <row r="123" spans="1:32" s="5" customFormat="1">
      <c r="A123" s="436" t="s">
        <v>1467</v>
      </c>
      <c r="B123" s="326">
        <f>ROUND((B167+B172+B173)/B16/8,0)</f>
        <v>55598</v>
      </c>
      <c r="C123" s="326">
        <f t="shared" ref="C123:O123" si="38">ROUND((C167+C172+C173)/C16/8,0)</f>
        <v>51250</v>
      </c>
      <c r="D123" s="326">
        <f t="shared" si="38"/>
        <v>59783</v>
      </c>
      <c r="E123" s="326">
        <f t="shared" si="38"/>
        <v>77337</v>
      </c>
      <c r="F123" s="326">
        <f t="shared" si="38"/>
        <v>104511</v>
      </c>
      <c r="G123" s="326">
        <f t="shared" si="38"/>
        <v>441399</v>
      </c>
      <c r="H123" s="326">
        <f t="shared" si="38"/>
        <v>693628</v>
      </c>
      <c r="I123" s="326">
        <f t="shared" si="38"/>
        <v>529679</v>
      </c>
      <c r="J123" s="326">
        <f t="shared" si="38"/>
        <v>316467</v>
      </c>
      <c r="K123" s="326">
        <f t="shared" si="38"/>
        <v>71902</v>
      </c>
      <c r="L123" s="326">
        <f t="shared" si="38"/>
        <v>80054</v>
      </c>
      <c r="M123" s="326">
        <f t="shared" si="38"/>
        <v>55598</v>
      </c>
      <c r="N123" s="326">
        <f t="shared" si="38"/>
        <v>61033</v>
      </c>
      <c r="O123" s="326">
        <f t="shared" si="38"/>
        <v>32609</v>
      </c>
      <c r="P123" s="339">
        <f t="shared" si="33"/>
        <v>2630848</v>
      </c>
      <c r="Q123"/>
      <c r="R123"/>
      <c r="S123"/>
      <c r="T123"/>
      <c r="U123"/>
      <c r="V123" s="32"/>
      <c r="W123" s="44"/>
      <c r="X123" s="13"/>
      <c r="Y123" s="13"/>
      <c r="Z123" s="13"/>
      <c r="AA123" s="13"/>
      <c r="AB123" s="13"/>
      <c r="AC123" s="18"/>
      <c r="AD123" s="287"/>
      <c r="AE123" s="81"/>
      <c r="AF123" s="80"/>
    </row>
    <row r="124" spans="1:32" s="5" customFormat="1">
      <c r="A124" s="436" t="s">
        <v>501</v>
      </c>
      <c r="B124" s="670">
        <f t="shared" ref="B124:O124" si="39">ROUND(B14/B16*B13,8)</f>
        <v>1</v>
      </c>
      <c r="C124" s="670">
        <f t="shared" si="39"/>
        <v>0.9</v>
      </c>
      <c r="D124" s="670">
        <f t="shared" si="39"/>
        <v>1</v>
      </c>
      <c r="E124" s="670">
        <f t="shared" si="39"/>
        <v>1</v>
      </c>
      <c r="F124" s="670">
        <f t="shared" si="39"/>
        <v>0.8</v>
      </c>
      <c r="G124" s="670">
        <f t="shared" si="39"/>
        <v>1</v>
      </c>
      <c r="H124" s="670">
        <f t="shared" si="39"/>
        <v>0.5</v>
      </c>
      <c r="I124" s="670">
        <f t="shared" si="39"/>
        <v>0.75</v>
      </c>
      <c r="J124" s="670">
        <f t="shared" si="39"/>
        <v>0.6</v>
      </c>
      <c r="K124" s="670">
        <f t="shared" si="39"/>
        <v>1</v>
      </c>
      <c r="L124" s="670">
        <f t="shared" si="39"/>
        <v>1</v>
      </c>
      <c r="M124" s="670">
        <f t="shared" si="39"/>
        <v>1</v>
      </c>
      <c r="N124" s="670">
        <f t="shared" si="39"/>
        <v>1</v>
      </c>
      <c r="O124" s="670">
        <f t="shared" si="39"/>
        <v>0.75</v>
      </c>
      <c r="P124" s="653"/>
      <c r="Q124"/>
      <c r="R124"/>
      <c r="S124"/>
      <c r="T124"/>
      <c r="U124"/>
      <c r="AD124"/>
      <c r="AE124" s="81"/>
      <c r="AF124" s="80"/>
    </row>
    <row r="125" spans="1:32" s="5" customFormat="1">
      <c r="A125" s="436" t="s">
        <v>502</v>
      </c>
      <c r="B125" s="670">
        <f t="shared" ref="B125:O125" si="40">ROUND((B14-B175)/261*B13,8)</f>
        <v>8.8122610000000004E-2</v>
      </c>
      <c r="C125" s="670">
        <f t="shared" si="40"/>
        <v>7.9310339999999993E-2</v>
      </c>
      <c r="D125" s="670">
        <f t="shared" si="40"/>
        <v>8.8122610000000004E-2</v>
      </c>
      <c r="E125" s="670">
        <f t="shared" si="40"/>
        <v>8.8122610000000004E-2</v>
      </c>
      <c r="F125" s="670">
        <f t="shared" si="40"/>
        <v>7.0498080000000005E-2</v>
      </c>
      <c r="G125" s="670">
        <f t="shared" si="40"/>
        <v>8.8122610000000004E-2</v>
      </c>
      <c r="H125" s="670">
        <f t="shared" si="40"/>
        <v>4.4061299999999998E-2</v>
      </c>
      <c r="I125" s="670">
        <f t="shared" si="40"/>
        <v>6.6091949999999997E-2</v>
      </c>
      <c r="J125" s="670">
        <f t="shared" si="40"/>
        <v>5.287356E-2</v>
      </c>
      <c r="K125" s="670">
        <f t="shared" si="40"/>
        <v>8.8122610000000004E-2</v>
      </c>
      <c r="L125" s="670">
        <f t="shared" si="40"/>
        <v>8.8122610000000004E-2</v>
      </c>
      <c r="M125" s="670">
        <f t="shared" si="40"/>
        <v>8.8122610000000004E-2</v>
      </c>
      <c r="N125" s="670">
        <f t="shared" si="40"/>
        <v>8.8122610000000004E-2</v>
      </c>
      <c r="O125" s="670">
        <f t="shared" si="40"/>
        <v>6.6091949999999997E-2</v>
      </c>
      <c r="P125" s="653"/>
      <c r="Q125"/>
      <c r="R125"/>
      <c r="S125"/>
      <c r="T125"/>
      <c r="U125"/>
      <c r="AD125"/>
      <c r="AE125" s="81"/>
      <c r="AF125" s="80"/>
    </row>
    <row r="126" spans="1:32" s="5" customFormat="1">
      <c r="A126" s="436" t="s">
        <v>503</v>
      </c>
      <c r="B126" s="670">
        <f t="shared" ref="B126:O126" si="41">ROUND(B176/B16,7)</f>
        <v>0</v>
      </c>
      <c r="C126" s="670">
        <f t="shared" si="41"/>
        <v>0</v>
      </c>
      <c r="D126" s="670">
        <f t="shared" si="41"/>
        <v>0</v>
      </c>
      <c r="E126" s="670">
        <f t="shared" si="41"/>
        <v>0</v>
      </c>
      <c r="F126" s="670">
        <f t="shared" si="41"/>
        <v>0</v>
      </c>
      <c r="G126" s="670">
        <f t="shared" si="41"/>
        <v>0</v>
      </c>
      <c r="H126" s="670">
        <f t="shared" si="41"/>
        <v>0</v>
      </c>
      <c r="I126" s="670">
        <f t="shared" si="41"/>
        <v>0</v>
      </c>
      <c r="J126" s="670">
        <f t="shared" si="41"/>
        <v>0</v>
      </c>
      <c r="K126" s="670">
        <f t="shared" si="41"/>
        <v>0</v>
      </c>
      <c r="L126" s="670">
        <f t="shared" si="41"/>
        <v>0</v>
      </c>
      <c r="M126" s="670">
        <f t="shared" si="41"/>
        <v>0</v>
      </c>
      <c r="N126" s="670">
        <f t="shared" si="41"/>
        <v>0</v>
      </c>
      <c r="O126" s="670">
        <f t="shared" si="41"/>
        <v>0</v>
      </c>
      <c r="P126" s="653"/>
      <c r="Q126"/>
      <c r="R126"/>
      <c r="S126"/>
      <c r="T126"/>
      <c r="U126"/>
      <c r="AD126"/>
      <c r="AE126" s="81"/>
      <c r="AF126" s="80"/>
    </row>
    <row r="127" spans="1:32" s="5" customFormat="1">
      <c r="A127" s="442" t="s">
        <v>492</v>
      </c>
      <c r="B127" s="326">
        <f>ROUND(AA25*B17/365,0)</f>
        <v>679452</v>
      </c>
      <c r="C127" s="326">
        <f>ROUND(AA26*C17/365,0)</f>
        <v>679452</v>
      </c>
      <c r="E127" s="326">
        <f>ROUND(AA27*E17/365,0)</f>
        <v>679452</v>
      </c>
      <c r="F127" s="326">
        <f>ROUND(AA28*F17/365,0)</f>
        <v>679452</v>
      </c>
      <c r="G127" s="326"/>
      <c r="H127" s="326">
        <f>ROUND(AA29*G17/365,0)</f>
        <v>679452</v>
      </c>
      <c r="I127" s="326"/>
      <c r="J127" s="326"/>
      <c r="K127" s="334"/>
      <c r="L127" s="334"/>
      <c r="M127" s="334"/>
      <c r="N127" s="334"/>
      <c r="O127" s="395"/>
      <c r="P127" s="340">
        <f t="shared" si="33"/>
        <v>3397260</v>
      </c>
      <c r="Q127"/>
      <c r="R127"/>
      <c r="S127"/>
      <c r="T127"/>
      <c r="U127"/>
      <c r="AD127"/>
      <c r="AE127" s="81"/>
      <c r="AF127" s="80"/>
    </row>
    <row r="128" spans="1:32" s="5" customFormat="1">
      <c r="A128" s="436" t="s">
        <v>534</v>
      </c>
      <c r="B128" s="326"/>
      <c r="C128" s="326"/>
      <c r="E128" s="326"/>
      <c r="F128" s="326"/>
      <c r="G128" s="326"/>
      <c r="H128" s="326">
        <f>ROUND(AA30*G17/365,0)</f>
        <v>594521</v>
      </c>
      <c r="I128" s="326"/>
      <c r="J128" s="326"/>
      <c r="K128" s="326"/>
      <c r="L128" s="326"/>
      <c r="M128" s="326"/>
      <c r="N128" s="326"/>
      <c r="O128" s="394"/>
      <c r="P128" s="340">
        <f t="shared" si="33"/>
        <v>594521</v>
      </c>
      <c r="Q128"/>
      <c r="R128"/>
      <c r="S128"/>
      <c r="T128"/>
      <c r="U128"/>
      <c r="AD128"/>
      <c r="AE128" s="81"/>
      <c r="AF128" s="80"/>
    </row>
    <row r="129" spans="1:32" s="5" customFormat="1">
      <c r="A129" s="405"/>
      <c r="B129" s="325"/>
      <c r="C129" s="326"/>
      <c r="D129" s="326"/>
      <c r="E129" s="334"/>
      <c r="F129" s="326"/>
      <c r="G129" s="326"/>
      <c r="H129" s="326"/>
      <c r="I129" s="326"/>
      <c r="J129" s="326"/>
      <c r="K129" s="334"/>
      <c r="L129" s="334"/>
      <c r="M129" s="334"/>
      <c r="N129" s="334"/>
      <c r="O129" s="395"/>
      <c r="P129" s="340"/>
      <c r="Q129"/>
      <c r="R129"/>
      <c r="S129"/>
      <c r="T129"/>
      <c r="U129"/>
      <c r="AD129"/>
      <c r="AE129" s="81"/>
      <c r="AF129" s="80"/>
    </row>
    <row r="130" spans="1:32" s="5" customFormat="1">
      <c r="A130" s="405" t="s">
        <v>576</v>
      </c>
      <c r="B130" s="325">
        <f t="shared" ref="B130:O130" si="42">SUM(B25:B46)</f>
        <v>22830000</v>
      </c>
      <c r="C130" s="326">
        <f t="shared" si="42"/>
        <v>28111000</v>
      </c>
      <c r="D130" s="326">
        <f t="shared" si="42"/>
        <v>14450000</v>
      </c>
      <c r="E130" s="326">
        <f t="shared" si="42"/>
        <v>34432240</v>
      </c>
      <c r="F130" s="326">
        <f t="shared" si="42"/>
        <v>23784000</v>
      </c>
      <c r="G130" s="326">
        <f t="shared" si="42"/>
        <v>74256000</v>
      </c>
      <c r="H130" s="326">
        <f t="shared" si="42"/>
        <v>80927438</v>
      </c>
      <c r="I130" s="326">
        <f t="shared" si="42"/>
        <v>73530844</v>
      </c>
      <c r="J130" s="326">
        <f t="shared" si="42"/>
        <v>51138000</v>
      </c>
      <c r="K130" s="326">
        <f t="shared" si="42"/>
        <v>30338160</v>
      </c>
      <c r="L130" s="326">
        <f t="shared" si="42"/>
        <v>25230000</v>
      </c>
      <c r="M130" s="326">
        <f t="shared" si="42"/>
        <v>26653100</v>
      </c>
      <c r="N130" s="326">
        <f t="shared" si="42"/>
        <v>33580000</v>
      </c>
      <c r="O130" s="394">
        <f t="shared" si="42"/>
        <v>4500000</v>
      </c>
      <c r="P130" s="340">
        <f t="shared" ref="P130:P164" si="43">SUM(B130:O130)</f>
        <v>523760782</v>
      </c>
      <c r="Q130"/>
      <c r="R130"/>
      <c r="S130"/>
      <c r="T130"/>
      <c r="U130"/>
      <c r="AD130"/>
      <c r="AE130" s="81"/>
      <c r="AF130" s="80"/>
    </row>
    <row r="131" spans="1:32">
      <c r="A131" s="436" t="s">
        <v>484</v>
      </c>
      <c r="B131" s="326">
        <f t="shared" ref="B131:O131" si="44">SUM(B25:B28,B30:B36,B48)</f>
        <v>19801270</v>
      </c>
      <c r="C131" s="326">
        <f t="shared" si="44"/>
        <v>17106540</v>
      </c>
      <c r="D131" s="326">
        <f t="shared" si="44"/>
        <v>14450000</v>
      </c>
      <c r="E131" s="326">
        <f t="shared" si="44"/>
        <v>-6855855</v>
      </c>
      <c r="F131" s="326">
        <f t="shared" si="44"/>
        <v>21200000</v>
      </c>
      <c r="G131" s="326">
        <f t="shared" si="44"/>
        <v>74256000</v>
      </c>
      <c r="H131" s="326">
        <f t="shared" si="44"/>
        <v>32289768</v>
      </c>
      <c r="I131" s="326">
        <f t="shared" si="44"/>
        <v>73530844</v>
      </c>
      <c r="J131" s="326">
        <f t="shared" si="44"/>
        <v>49200000</v>
      </c>
      <c r="K131" s="326">
        <f t="shared" si="44"/>
        <v>19108160</v>
      </c>
      <c r="L131" s="326">
        <f t="shared" si="44"/>
        <v>22000000</v>
      </c>
      <c r="M131" s="326">
        <f t="shared" si="44"/>
        <v>22211550</v>
      </c>
      <c r="N131" s="326">
        <f t="shared" si="44"/>
        <v>21350000</v>
      </c>
      <c r="O131" s="326">
        <f t="shared" si="44"/>
        <v>4500000</v>
      </c>
      <c r="P131" s="340">
        <f t="shared" si="43"/>
        <v>384148277</v>
      </c>
      <c r="V131" s="154"/>
      <c r="AE131" s="81"/>
      <c r="AF131" s="81"/>
    </row>
    <row r="132" spans="1:32">
      <c r="A132" s="436" t="s">
        <v>578</v>
      </c>
      <c r="B132" s="326">
        <f>MIN(IF(OR(B19="A",B19="B"),ROUND(SUM(B180,B168,B169,B171)*B13,B181),0),29800000)</f>
        <v>12600000</v>
      </c>
      <c r="C132" s="326">
        <f t="shared" ref="C132:O132" si="45">MIN(IF(OR(C19="A",C19="B"),SUM(C180,C168,C169,C171)*C13,C181),29800000)</f>
        <v>10404000</v>
      </c>
      <c r="D132" s="326">
        <f t="shared" si="45"/>
        <v>14450000</v>
      </c>
      <c r="E132" s="326">
        <f t="shared" si="45"/>
        <v>14500000</v>
      </c>
      <c r="F132" s="326">
        <f t="shared" si="45"/>
        <v>15600000</v>
      </c>
      <c r="G132" s="326">
        <f t="shared" si="45"/>
        <v>29800000</v>
      </c>
      <c r="H132" s="326">
        <f t="shared" si="45"/>
        <v>29800000</v>
      </c>
      <c r="I132" s="326">
        <f t="shared" si="45"/>
        <v>29800000</v>
      </c>
      <c r="J132" s="326">
        <f t="shared" si="45"/>
        <v>29800000</v>
      </c>
      <c r="K132" s="326">
        <f t="shared" si="45"/>
        <v>16500000</v>
      </c>
      <c r="L132" s="326">
        <f t="shared" si="45"/>
        <v>15000000</v>
      </c>
      <c r="M132" s="326">
        <f t="shared" si="45"/>
        <v>14000000</v>
      </c>
      <c r="N132" s="326">
        <f t="shared" si="45"/>
        <v>14350000</v>
      </c>
      <c r="O132" s="326">
        <f t="shared" si="45"/>
        <v>4500000</v>
      </c>
      <c r="P132" s="339">
        <f t="shared" si="43"/>
        <v>251104000</v>
      </c>
      <c r="AE132" s="81"/>
      <c r="AF132" s="81"/>
    </row>
    <row r="133" spans="1:32">
      <c r="A133" s="405" t="s">
        <v>1200</v>
      </c>
      <c r="B133" s="326">
        <f t="shared" ref="B133:O133" si="46">IF(OR(B19="A",B19="B"),ROUND(SUM(B180,B168,B169,B171)*B13,0),B182)</f>
        <v>12600000</v>
      </c>
      <c r="C133" s="326">
        <f t="shared" si="46"/>
        <v>10404000</v>
      </c>
      <c r="D133" s="326">
        <f t="shared" si="46"/>
        <v>14450000</v>
      </c>
      <c r="E133" s="326">
        <f t="shared" si="46"/>
        <v>14500000</v>
      </c>
      <c r="F133" s="326">
        <f t="shared" si="46"/>
        <v>15600000</v>
      </c>
      <c r="G133" s="326">
        <f t="shared" si="46"/>
        <v>75200000</v>
      </c>
      <c r="H133" s="326">
        <f t="shared" si="46"/>
        <v>79312500</v>
      </c>
      <c r="I133" s="326">
        <f t="shared" si="46"/>
        <v>70500000</v>
      </c>
      <c r="J133" s="326">
        <f t="shared" si="46"/>
        <v>45000000</v>
      </c>
      <c r="K133" s="326">
        <f t="shared" si="46"/>
        <v>16500000</v>
      </c>
      <c r="L133" s="326">
        <f t="shared" si="46"/>
        <v>15000000</v>
      </c>
      <c r="M133" s="326">
        <f t="shared" si="46"/>
        <v>14000000</v>
      </c>
      <c r="N133" s="326">
        <f t="shared" si="46"/>
        <v>14350000</v>
      </c>
      <c r="O133" s="326">
        <f t="shared" si="46"/>
        <v>4500000</v>
      </c>
      <c r="P133" s="339">
        <f t="shared" si="43"/>
        <v>401916500</v>
      </c>
      <c r="W133" s="154"/>
      <c r="X133" s="154"/>
      <c r="Y133" s="154"/>
      <c r="Z133" s="154"/>
      <c r="AA133" s="154"/>
      <c r="AB133" s="154"/>
      <c r="AC133" s="154"/>
      <c r="AE133" s="81"/>
      <c r="AF133" s="81"/>
    </row>
    <row r="134" spans="1:32">
      <c r="A134" s="405" t="s">
        <v>580</v>
      </c>
      <c r="B134" s="326">
        <f t="shared" ref="B134:O134" si="47">IF(OR(B19="A",B19="B"),ROUND(SUM(B180,B168,B169,B171:B173)*B13,0),ROUND(SUM(B180,B168,B169,B171)*B13,0))</f>
        <v>15830000</v>
      </c>
      <c r="C134" s="326">
        <f t="shared" si="47"/>
        <v>13311000</v>
      </c>
      <c r="D134" s="326">
        <f t="shared" si="47"/>
        <v>14450000</v>
      </c>
      <c r="E134" s="326">
        <f t="shared" si="47"/>
        <v>17730000</v>
      </c>
      <c r="F134" s="326">
        <f t="shared" si="47"/>
        <v>18184000</v>
      </c>
      <c r="G134" s="326">
        <f t="shared" si="47"/>
        <v>74256000</v>
      </c>
      <c r="H134" s="326">
        <f t="shared" si="47"/>
        <v>78316875</v>
      </c>
      <c r="I134" s="326">
        <f t="shared" si="47"/>
        <v>69615000</v>
      </c>
      <c r="J134" s="326">
        <f t="shared" si="47"/>
        <v>46938000</v>
      </c>
      <c r="K134" s="326">
        <f t="shared" si="47"/>
        <v>19730000</v>
      </c>
      <c r="L134" s="326">
        <f t="shared" si="47"/>
        <v>18230000</v>
      </c>
      <c r="M134" s="326">
        <f t="shared" si="47"/>
        <v>17230000</v>
      </c>
      <c r="N134" s="326">
        <f t="shared" si="47"/>
        <v>17580000</v>
      </c>
      <c r="O134" s="326">
        <f t="shared" si="47"/>
        <v>4500000</v>
      </c>
      <c r="P134" s="339">
        <f t="shared" si="43"/>
        <v>425900875</v>
      </c>
    </row>
    <row r="135" spans="1:32">
      <c r="A135" s="405" t="s">
        <v>481</v>
      </c>
      <c r="B135" s="326">
        <f>ROUND('UAT9-Sep'!B78/6,0)</f>
        <v>10476667</v>
      </c>
      <c r="C135" s="326">
        <f>ROUND('UAT9-Sep'!C78/6,0)</f>
        <v>8610000</v>
      </c>
      <c r="D135" s="326">
        <f>ROUND('UAT9-Sep'!D78/6,0)</f>
        <v>0</v>
      </c>
      <c r="E135" s="326">
        <f>ROUND('UAT9-Sep'!E78/6,0)</f>
        <v>12410000</v>
      </c>
      <c r="F135" s="326">
        <f>ROUND('UAT9-Sep'!F78/6,0)</f>
        <v>14061333</v>
      </c>
      <c r="G135" s="326">
        <f>ROUND('UAT9-Sep'!G78/6,0)</f>
        <v>61880000</v>
      </c>
      <c r="H135" s="326">
        <f>ROUND('UAT9-Sep'!H78/6,0)</f>
        <v>74256000</v>
      </c>
      <c r="I135" s="326">
        <f>ROUND('UAT9-Sep'!I78/6,0)</f>
        <v>66134250</v>
      </c>
      <c r="J135" s="326">
        <f>ROUND('UAT9-Sep'!J78/6,0)</f>
        <v>42946000</v>
      </c>
      <c r="K135" s="326">
        <f>ROUND('UAT9-Sep'!K78/6,0)</f>
        <v>14376667</v>
      </c>
      <c r="L135" s="326">
        <f>ROUND('UAT9-Sep'!L78/6,0)</f>
        <v>39910000</v>
      </c>
      <c r="M135" s="326">
        <f>ROUND('UAT9-Sep'!M78/6,0)</f>
        <v>11743333</v>
      </c>
      <c r="N135" s="326">
        <f>ROUND('UAT9-Sep'!N78/6,0)</f>
        <v>12230000</v>
      </c>
      <c r="O135" s="326">
        <f>ROUND('UAT9-Sep'!O78/6,0)</f>
        <v>4125000</v>
      </c>
      <c r="P135" s="339">
        <f t="shared" si="43"/>
        <v>373159250</v>
      </c>
    </row>
    <row r="136" spans="1:32">
      <c r="A136" s="436" t="s">
        <v>600</v>
      </c>
      <c r="B136" s="326">
        <f t="shared" ref="B136:O136" si="48">SUM(B54:B58)</f>
        <v>1323000</v>
      </c>
      <c r="C136" s="326">
        <f t="shared" si="48"/>
        <v>1092420</v>
      </c>
      <c r="D136" s="326">
        <f t="shared" si="48"/>
        <v>361250</v>
      </c>
      <c r="E136" s="326">
        <f t="shared" si="48"/>
        <v>217500</v>
      </c>
      <c r="F136" s="326">
        <f t="shared" si="48"/>
        <v>0</v>
      </c>
      <c r="G136" s="326">
        <f t="shared" si="48"/>
        <v>447000</v>
      </c>
      <c r="H136" s="326">
        <f t="shared" si="48"/>
        <v>447000</v>
      </c>
      <c r="I136" s="326">
        <f t="shared" si="48"/>
        <v>447000</v>
      </c>
      <c r="J136" s="326">
        <f t="shared" si="48"/>
        <v>3281000</v>
      </c>
      <c r="K136" s="326">
        <f t="shared" si="48"/>
        <v>0</v>
      </c>
      <c r="L136" s="326">
        <f t="shared" si="48"/>
        <v>1575000</v>
      </c>
      <c r="M136" s="326">
        <f t="shared" si="48"/>
        <v>0</v>
      </c>
      <c r="N136" s="326">
        <f t="shared" si="48"/>
        <v>0</v>
      </c>
      <c r="O136" s="326">
        <f t="shared" si="48"/>
        <v>0</v>
      </c>
      <c r="P136" s="339">
        <f t="shared" si="43"/>
        <v>9191170</v>
      </c>
    </row>
    <row r="137" spans="1:32">
      <c r="A137" s="436" t="s">
        <v>577</v>
      </c>
      <c r="B137" s="326">
        <f t="shared" ref="B137:O137" si="49">IF(OR(B19="A",B19="C"),B131-B136,B131)</f>
        <v>18478270</v>
      </c>
      <c r="C137" s="326">
        <f t="shared" si="49"/>
        <v>16014120</v>
      </c>
      <c r="D137" s="326">
        <f t="shared" si="49"/>
        <v>14088750</v>
      </c>
      <c r="E137" s="326">
        <f t="shared" si="49"/>
        <v>-6855855</v>
      </c>
      <c r="F137" s="326">
        <f t="shared" si="49"/>
        <v>21200000</v>
      </c>
      <c r="G137" s="326">
        <f t="shared" si="49"/>
        <v>73809000</v>
      </c>
      <c r="H137" s="326">
        <f t="shared" si="49"/>
        <v>32289768</v>
      </c>
      <c r="I137" s="326">
        <f t="shared" si="49"/>
        <v>73530844</v>
      </c>
      <c r="J137" s="326">
        <f t="shared" si="49"/>
        <v>45919000</v>
      </c>
      <c r="K137" s="326">
        <f t="shared" si="49"/>
        <v>19108160</v>
      </c>
      <c r="L137" s="326">
        <f t="shared" si="49"/>
        <v>20425000</v>
      </c>
      <c r="M137" s="326">
        <f t="shared" si="49"/>
        <v>22211550</v>
      </c>
      <c r="N137" s="326">
        <f t="shared" si="49"/>
        <v>21350000</v>
      </c>
      <c r="O137" s="326">
        <f t="shared" si="49"/>
        <v>4500000</v>
      </c>
      <c r="P137" s="339">
        <f t="shared" si="43"/>
        <v>376068607</v>
      </c>
    </row>
    <row r="138" spans="1:32">
      <c r="A138" s="436" t="s">
        <v>849</v>
      </c>
      <c r="B138" s="326">
        <f t="shared" ref="B138:O138" si="50">MAX(B137-B22-B21,0)</f>
        <v>5878270</v>
      </c>
      <c r="C138" s="326">
        <f t="shared" si="50"/>
        <v>0</v>
      </c>
      <c r="D138" s="326">
        <f t="shared" si="50"/>
        <v>5088750</v>
      </c>
      <c r="E138" s="326">
        <f t="shared" si="50"/>
        <v>0</v>
      </c>
      <c r="F138" s="326">
        <f t="shared" si="50"/>
        <v>21200000</v>
      </c>
      <c r="G138" s="326">
        <f t="shared" si="50"/>
        <v>64809000</v>
      </c>
      <c r="H138" s="326">
        <f t="shared" si="50"/>
        <v>32289768</v>
      </c>
      <c r="I138" s="326">
        <f t="shared" si="50"/>
        <v>73530844</v>
      </c>
      <c r="J138" s="326">
        <f t="shared" si="50"/>
        <v>36919000</v>
      </c>
      <c r="K138" s="326">
        <f t="shared" si="50"/>
        <v>10108160</v>
      </c>
      <c r="L138" s="326">
        <f t="shared" si="50"/>
        <v>11425000</v>
      </c>
      <c r="M138" s="326">
        <f t="shared" si="50"/>
        <v>13211550</v>
      </c>
      <c r="N138" s="326">
        <f t="shared" si="50"/>
        <v>12350000</v>
      </c>
      <c r="O138" s="326">
        <f t="shared" si="50"/>
        <v>4500000</v>
      </c>
      <c r="P138" s="339">
        <f t="shared" si="43"/>
        <v>291310342</v>
      </c>
    </row>
    <row r="139" spans="1:32">
      <c r="A139" s="436" t="s">
        <v>851</v>
      </c>
      <c r="B139" s="326">
        <f>IF(OR(B19="A",B19="C"),ROUND(MAX(B138*{5;10;15;20;25;30;35}%-{0;0.25;0.75;1.65;3.25;5.85;9.85}*1000000,0),0),IF(B19="B",IF(B138&lt;2000000,0,ROUND(B138*10%,0)),ROUND(B138*20%,0)))</f>
        <v>337827</v>
      </c>
      <c r="C139" s="326">
        <f>IF(OR(C19="A",C19="C"),ROUND(MAX(C138*{5;10;15;20;25;30;35}%-{0;0.25;0.75;1.65;3.25;5.85;9.85}*1000000,0),0),IF(C19="B",IF(C138&lt;2000000,0,ROUND(C138*10%,0)),ROUND(C138*20%,0)))</f>
        <v>0</v>
      </c>
      <c r="D139" s="326">
        <f>IF(OR(D19="A",D19="C"),ROUND(MAX(D138*{5;10;15;20;25;30;35}%-{0;0.25;0.75;1.65;3.25;5.85;9.85}*1000000,0),0),IF(D19="B",IF(D138&lt;2000000,0,ROUND(D138*10%,0)),ROUND(D138*20%,0)))</f>
        <v>258875</v>
      </c>
      <c r="E139" s="326">
        <f>IF(OR(E19="A",E19="C"),ROUND(MAX(E138*{5;10;15;20;25;30;35}%-{0;0.25;0.75;1.65;3.25;5.85;9.85}*1000000,0),0),IF(E19="B",IF(E138&lt;2000000,0,ROUND(E138*10%,0)),ROUND(E138*20%,0)))</f>
        <v>0</v>
      </c>
      <c r="F139" s="326">
        <f>IF(OR(F19="A",F19="C"),ROUND(MAX(F138*{5;10;15;20;25;30;35}%-{0;0.25;0.75;1.65;3.25;5.85;9.85}*1000000,0),0),IF(F19="B",IF(F138&lt;2000000,0,ROUND(F138*10%,0)),ROUND(F138*20%,0)))</f>
        <v>2120000</v>
      </c>
      <c r="G139" s="326">
        <f>IF(OR(G19="A",G19="C"),ROUND(MAX(G138*{5;10;15;20;25;30;35}%-{0;0.25;0.75;1.65;3.25;5.85;9.85}*1000000,0),0),IF(G19="B",IF(G138&lt;2000000,0,ROUND(G138*10%,0)),ROUND(G138*20%,0)))</f>
        <v>13592700</v>
      </c>
      <c r="H139" s="326">
        <f>IF(OR(H19="A",H19="C"),ROUND(MAX(H138*{5;10;15;20;25;30;35}%-{0;0.25;0.75;1.65;3.25;5.85;9.85}*1000000,0),0),IF(H19="B",IF(H138&lt;2000000,0,ROUND(H138*10%,0)),ROUND(H138*20%,0)))</f>
        <v>6457954</v>
      </c>
      <c r="I139" s="326">
        <f>IF(OR(I19="A",I19="C"),ROUND(MAX(I138*{5;10;15;20;25;30;35}%-{0;0.25;0.75;1.65;3.25;5.85;9.85}*1000000,0),0),IF(I19="B",IF(I138&lt;2000000,0,ROUND(I138*10%,0)),ROUND(I138*20%,0)))</f>
        <v>14706169</v>
      </c>
      <c r="J139" s="326">
        <f>IF(OR(J19="A",J19="C"),ROUND(MAX(J138*{5;10;15;20;25;30;35}%-{0;0.25;0.75;1.65;3.25;5.85;9.85}*1000000,0),0),IF(J19="B",IF(J138&lt;2000000,0,ROUND(J138*10%,0)),ROUND(J138*20%,0)))</f>
        <v>5979750</v>
      </c>
      <c r="K139" s="326">
        <f>IF(OR(K19="A",K19="C"),ROUND(MAX(K138*{5;10;15;20;25;30;35}%-{0;0.25;0.75;1.65;3.25;5.85;9.85}*1000000,0),0),IF(K19="B",IF(K138&lt;2000000,0,ROUND(K138*10%,0)),ROUND(K138*20%,0)))</f>
        <v>766224</v>
      </c>
      <c r="L139" s="326">
        <f>IF(OR(L19="A",L19="C"),ROUND(MAX(L138*{5;10;15;20;25;30;35}%-{0;0.25;0.75;1.65;3.25;5.85;9.85}*1000000,0),0),IF(L19="B",IF(L138&lt;2000000,0,ROUND(L138*10%,0)),ROUND(L138*20%,0)))</f>
        <v>963750</v>
      </c>
      <c r="M139" s="326">
        <f>IF(OR(M19="A",M19="C"),ROUND(MAX(M138*{5;10;15;20;25;30;35}%-{0;0.25;0.75;1.65;3.25;5.85;9.85}*1000000,0),0),IF(M19="B",IF(M138&lt;2000000,0,ROUND(M138*10%,0)),ROUND(M138*20%,0)))</f>
        <v>1231733</v>
      </c>
      <c r="N139" s="326">
        <f>IF(OR(N19="A",N19="C"),ROUND(MAX(N138*{5;10;15;20;25;30;35}%-{0;0.25;0.75;1.65;3.25;5.85;9.85}*1000000,0),0),IF(N19="B",IF(N138&lt;2000000,0,ROUND(N138*10%,0)),ROUND(N138*20%,0)))</f>
        <v>1102500</v>
      </c>
      <c r="O139" s="326">
        <f>IF(OR(O19="A",O19="C"),ROUND(MAX(O138*{5;10;15;20;25;30;35}%-{0;0.25;0.75;1.65;3.25;5.85;9.85}*1000000,0),0),IF(O19="B",IF(O138&lt;2000000,0,ROUND(O138*10%,0)),ROUND(O138*20%,0)))</f>
        <v>450000</v>
      </c>
      <c r="P139" s="339">
        <f t="shared" si="43"/>
        <v>47967482</v>
      </c>
    </row>
    <row r="140" spans="1:32">
      <c r="A140" s="436" t="s">
        <v>866</v>
      </c>
      <c r="B140" s="326">
        <f>B131+'UAT9-Sep'!B137</f>
        <v>144892332</v>
      </c>
      <c r="C140" s="326">
        <f>C131+'UAT9-Sep'!C137</f>
        <v>113668543</v>
      </c>
      <c r="D140" s="326">
        <f>D131+'UAT9-Sep'!D137</f>
        <v>93221713</v>
      </c>
      <c r="E140" s="326">
        <f>E131+'UAT9-Sep'!E137</f>
        <v>174755006</v>
      </c>
      <c r="F140" s="326">
        <f>F131+'UAT9-Sep'!F137</f>
        <v>150000000</v>
      </c>
      <c r="G140" s="326">
        <f>G131+'UAT9-Sep'!G137</f>
        <v>670321825</v>
      </c>
      <c r="H140" s="326">
        <f>H131+'UAT9-Sep'!H137</f>
        <v>804143323</v>
      </c>
      <c r="I140" s="326">
        <f>I131+'UAT9-Sep'!I137</f>
        <v>796366112</v>
      </c>
      <c r="J140" s="326">
        <f>J131+'UAT9-Sep'!J137</f>
        <v>399573914</v>
      </c>
      <c r="K140" s="326">
        <f>K131+'UAT9-Sep'!K137</f>
        <v>157581558</v>
      </c>
      <c r="L140" s="326">
        <f>L131+'UAT9-Sep'!L137</f>
        <v>532651070</v>
      </c>
      <c r="M140" s="326">
        <f>M131+'UAT9-Sep'!M137</f>
        <v>127096190</v>
      </c>
      <c r="N140" s="326">
        <f>N131+'UAT9-Sep'!N137</f>
        <v>106216736</v>
      </c>
      <c r="O140" s="326">
        <f>O131+'UAT9-Sep'!O137</f>
        <v>40795448</v>
      </c>
      <c r="P140" s="339">
        <f t="shared" si="43"/>
        <v>4311283770</v>
      </c>
    </row>
    <row r="141" spans="1:32">
      <c r="A141" s="436" t="s">
        <v>486</v>
      </c>
      <c r="B141" s="326">
        <f>B139+'UAT9-Sep'!B138</f>
        <v>2276309</v>
      </c>
      <c r="C141" s="326">
        <f>C139+'UAT9-Sep'!C138</f>
        <v>0</v>
      </c>
      <c r="D141" s="326">
        <f>D139+'UAT9-Sep'!D138</f>
        <v>937712</v>
      </c>
      <c r="E141" s="326">
        <f>E139+'UAT9-Sep'!E138</f>
        <v>18161089</v>
      </c>
      <c r="F141" s="326">
        <f>F139+'UAT9-Sep'!F138</f>
        <v>15000000</v>
      </c>
      <c r="G141" s="326">
        <f>G139+'UAT9-Sep'!G138</f>
        <v>129967648</v>
      </c>
      <c r="H141" s="326">
        <f>H139+'UAT9-Sep'!H138</f>
        <v>160828666</v>
      </c>
      <c r="I141" s="326">
        <f>I139+'UAT9-Sep'!I138</f>
        <v>159273223</v>
      </c>
      <c r="J141" s="326">
        <f>J139+'UAT9-Sep'!J138</f>
        <v>42928639</v>
      </c>
      <c r="K141" s="326">
        <f>K139+'UAT9-Sep'!K138</f>
        <v>6885904</v>
      </c>
      <c r="L141" s="326">
        <f>L139+'UAT9-Sep'!L138</f>
        <v>89348857</v>
      </c>
      <c r="M141" s="326">
        <f>M139+'UAT9-Sep'!M138</f>
        <v>3943276</v>
      </c>
      <c r="N141" s="326">
        <f>N139+'UAT9-Sep'!N138</f>
        <v>2336481</v>
      </c>
      <c r="O141" s="326">
        <f>O139+'UAT9-Sep'!O138</f>
        <v>4079545</v>
      </c>
      <c r="P141" s="339">
        <f t="shared" si="43"/>
        <v>635967349</v>
      </c>
    </row>
    <row r="142" spans="1:32">
      <c r="A142" s="436" t="s">
        <v>487</v>
      </c>
      <c r="B142" s="326">
        <f>B136+'UAT9-Sep'!B139</f>
        <v>8704500</v>
      </c>
      <c r="C142" s="326">
        <f>C136+'UAT9-Sep'!C139</f>
        <v>8226225</v>
      </c>
      <c r="D142" s="326">
        <f>D136+'UAT9-Sep'!D139</f>
        <v>1673750</v>
      </c>
      <c r="E142" s="326">
        <f>E136+'UAT9-Sep'!E139</f>
        <v>8775000</v>
      </c>
      <c r="F142" s="326">
        <f>F136+'UAT9-Sep'!F139</f>
        <v>0</v>
      </c>
      <c r="G142" s="326">
        <f>G136+'UAT9-Sep'!G139</f>
        <v>2622000</v>
      </c>
      <c r="H142" s="326">
        <f>H136+'UAT9-Sep'!H139</f>
        <v>4290000</v>
      </c>
      <c r="I142" s="326">
        <f>I136+'UAT9-Sep'!I139</f>
        <v>3873000</v>
      </c>
      <c r="J142" s="326">
        <f>J136+'UAT9-Sep'!J139</f>
        <v>28297000</v>
      </c>
      <c r="K142" s="326">
        <f>K136+'UAT9-Sep'!K139</f>
        <v>0</v>
      </c>
      <c r="L142" s="326">
        <f>L136+'UAT9-Sep'!L139</f>
        <v>24525000</v>
      </c>
      <c r="M142" s="326">
        <f>M136+'UAT9-Sep'!M139</f>
        <v>0</v>
      </c>
      <c r="N142" s="326">
        <f>N136+'UAT9-Sep'!N139</f>
        <v>0</v>
      </c>
      <c r="O142" s="326">
        <f>O136+'UAT9-Sep'!O139</f>
        <v>0</v>
      </c>
      <c r="P142" s="339">
        <f t="shared" si="43"/>
        <v>90986475</v>
      </c>
    </row>
    <row r="143" spans="1:32">
      <c r="A143" s="405"/>
      <c r="B143" s="14"/>
      <c r="C143" s="7"/>
      <c r="D143" s="7"/>
      <c r="E143" s="316"/>
      <c r="F143" s="7"/>
      <c r="G143" s="7"/>
      <c r="H143" s="7"/>
      <c r="I143" s="7"/>
      <c r="J143" s="7"/>
      <c r="K143" s="316"/>
      <c r="L143" s="316"/>
      <c r="M143" s="316"/>
      <c r="N143" s="316"/>
      <c r="O143" s="375"/>
      <c r="P143" s="340"/>
    </row>
    <row r="144" spans="1:32">
      <c r="A144" s="452" t="s">
        <v>762</v>
      </c>
      <c r="B144" s="538">
        <f t="shared" ref="B144:O144" si="51">B112</f>
        <v>0</v>
      </c>
      <c r="C144" s="538">
        <f t="shared" si="51"/>
        <v>0</v>
      </c>
      <c r="D144" s="538">
        <f t="shared" si="51"/>
        <v>0</v>
      </c>
      <c r="E144" s="538">
        <f t="shared" si="51"/>
        <v>0</v>
      </c>
      <c r="F144" s="538">
        <f t="shared" si="51"/>
        <v>0</v>
      </c>
      <c r="G144" s="538">
        <f t="shared" si="51"/>
        <v>0</v>
      </c>
      <c r="H144" s="538">
        <f t="shared" si="51"/>
        <v>0</v>
      </c>
      <c r="I144" s="538">
        <f t="shared" si="51"/>
        <v>0</v>
      </c>
      <c r="J144" s="538">
        <f t="shared" si="51"/>
        <v>0</v>
      </c>
      <c r="K144" s="538">
        <f t="shared" si="51"/>
        <v>0</v>
      </c>
      <c r="L144" s="538">
        <f t="shared" si="51"/>
        <v>0</v>
      </c>
      <c r="M144" s="538">
        <f t="shared" si="51"/>
        <v>0</v>
      </c>
      <c r="N144" s="538">
        <f t="shared" si="51"/>
        <v>0</v>
      </c>
      <c r="O144" s="539">
        <f t="shared" si="51"/>
        <v>0</v>
      </c>
      <c r="P144" s="534">
        <f t="shared" si="43"/>
        <v>0</v>
      </c>
    </row>
    <row r="145" spans="1:16">
      <c r="A145" s="452" t="s">
        <v>758</v>
      </c>
      <c r="B145" s="538">
        <f t="shared" ref="B145:O145" si="52">B114</f>
        <v>0</v>
      </c>
      <c r="C145" s="538">
        <f t="shared" si="52"/>
        <v>0</v>
      </c>
      <c r="D145" s="538">
        <f t="shared" si="52"/>
        <v>0</v>
      </c>
      <c r="E145" s="538">
        <f t="shared" si="52"/>
        <v>0</v>
      </c>
      <c r="F145" s="538">
        <f t="shared" si="52"/>
        <v>0</v>
      </c>
      <c r="G145" s="538">
        <f t="shared" si="52"/>
        <v>0</v>
      </c>
      <c r="H145" s="538">
        <f t="shared" si="52"/>
        <v>0</v>
      </c>
      <c r="I145" s="538">
        <f t="shared" si="52"/>
        <v>0</v>
      </c>
      <c r="J145" s="538">
        <f t="shared" si="52"/>
        <v>0</v>
      </c>
      <c r="K145" s="538">
        <f t="shared" si="52"/>
        <v>0</v>
      </c>
      <c r="L145" s="538">
        <f t="shared" si="52"/>
        <v>0</v>
      </c>
      <c r="M145" s="538">
        <f t="shared" si="52"/>
        <v>0</v>
      </c>
      <c r="N145" s="538">
        <f t="shared" si="52"/>
        <v>0</v>
      </c>
      <c r="O145" s="539">
        <f t="shared" si="52"/>
        <v>0</v>
      </c>
      <c r="P145" s="534">
        <f t="shared" si="43"/>
        <v>0</v>
      </c>
    </row>
    <row r="146" spans="1:16">
      <c r="A146" s="452" t="s">
        <v>755</v>
      </c>
      <c r="B146" s="538">
        <f t="shared" ref="B146:O146" si="53">B108</f>
        <v>0</v>
      </c>
      <c r="C146" s="538">
        <f t="shared" si="53"/>
        <v>0</v>
      </c>
      <c r="D146" s="538">
        <f t="shared" si="53"/>
        <v>0</v>
      </c>
      <c r="E146" s="538">
        <f t="shared" si="53"/>
        <v>0</v>
      </c>
      <c r="F146" s="538">
        <f t="shared" si="53"/>
        <v>0</v>
      </c>
      <c r="G146" s="538">
        <f t="shared" si="53"/>
        <v>0</v>
      </c>
      <c r="H146" s="538">
        <f t="shared" si="53"/>
        <v>0</v>
      </c>
      <c r="I146" s="538">
        <f t="shared" si="53"/>
        <v>0</v>
      </c>
      <c r="J146" s="538">
        <f t="shared" si="53"/>
        <v>0</v>
      </c>
      <c r="K146" s="538">
        <f t="shared" si="53"/>
        <v>0</v>
      </c>
      <c r="L146" s="538">
        <f t="shared" si="53"/>
        <v>0</v>
      </c>
      <c r="M146" s="538">
        <f t="shared" si="53"/>
        <v>0</v>
      </c>
      <c r="N146" s="538">
        <f t="shared" si="53"/>
        <v>0</v>
      </c>
      <c r="O146" s="539">
        <f t="shared" si="53"/>
        <v>0</v>
      </c>
      <c r="P146" s="534">
        <f t="shared" si="43"/>
        <v>0</v>
      </c>
    </row>
    <row r="147" spans="1:16">
      <c r="A147" s="452" t="s">
        <v>763</v>
      </c>
      <c r="B147" s="538">
        <f t="shared" ref="B147:O147" si="54">B113</f>
        <v>0</v>
      </c>
      <c r="C147" s="538">
        <f t="shared" si="54"/>
        <v>0</v>
      </c>
      <c r="D147" s="538">
        <f t="shared" si="54"/>
        <v>0</v>
      </c>
      <c r="E147" s="538">
        <f t="shared" si="54"/>
        <v>0</v>
      </c>
      <c r="F147" s="538">
        <f t="shared" si="54"/>
        <v>0</v>
      </c>
      <c r="G147" s="538">
        <f t="shared" si="54"/>
        <v>0</v>
      </c>
      <c r="H147" s="538">
        <f t="shared" si="54"/>
        <v>0</v>
      </c>
      <c r="I147" s="538">
        <f t="shared" si="54"/>
        <v>0</v>
      </c>
      <c r="J147" s="538">
        <f t="shared" si="54"/>
        <v>0</v>
      </c>
      <c r="K147" s="538">
        <f t="shared" si="54"/>
        <v>0</v>
      </c>
      <c r="L147" s="538">
        <f t="shared" si="54"/>
        <v>0</v>
      </c>
      <c r="M147" s="538">
        <f t="shared" si="54"/>
        <v>0</v>
      </c>
      <c r="N147" s="538">
        <f t="shared" si="54"/>
        <v>0</v>
      </c>
      <c r="O147" s="539">
        <f t="shared" si="54"/>
        <v>0</v>
      </c>
      <c r="P147" s="534">
        <f t="shared" si="43"/>
        <v>0</v>
      </c>
    </row>
    <row r="148" spans="1:16">
      <c r="A148" s="452" t="s">
        <v>764</v>
      </c>
      <c r="B148" s="538">
        <f t="shared" ref="B148:O148" si="55">B115</f>
        <v>0</v>
      </c>
      <c r="C148" s="538">
        <f t="shared" si="55"/>
        <v>0</v>
      </c>
      <c r="D148" s="538">
        <f t="shared" si="55"/>
        <v>0</v>
      </c>
      <c r="E148" s="538">
        <f t="shared" si="55"/>
        <v>0</v>
      </c>
      <c r="F148" s="538">
        <f t="shared" si="55"/>
        <v>0</v>
      </c>
      <c r="G148" s="538">
        <f t="shared" si="55"/>
        <v>0</v>
      </c>
      <c r="H148" s="538">
        <f t="shared" si="55"/>
        <v>0</v>
      </c>
      <c r="I148" s="538">
        <f t="shared" si="55"/>
        <v>0</v>
      </c>
      <c r="J148" s="538">
        <f t="shared" si="55"/>
        <v>0</v>
      </c>
      <c r="K148" s="538">
        <f t="shared" si="55"/>
        <v>0</v>
      </c>
      <c r="L148" s="538">
        <f t="shared" si="55"/>
        <v>0</v>
      </c>
      <c r="M148" s="538">
        <f t="shared" si="55"/>
        <v>0</v>
      </c>
      <c r="N148" s="538">
        <f t="shared" si="55"/>
        <v>0</v>
      </c>
      <c r="O148" s="539">
        <f t="shared" si="55"/>
        <v>0</v>
      </c>
      <c r="P148" s="534">
        <f t="shared" si="43"/>
        <v>0</v>
      </c>
    </row>
    <row r="149" spans="1:16">
      <c r="A149" s="452" t="s">
        <v>766</v>
      </c>
      <c r="B149" s="538">
        <f t="shared" ref="B149:O149" si="56">B107</f>
        <v>0</v>
      </c>
      <c r="C149" s="538">
        <f t="shared" si="56"/>
        <v>0</v>
      </c>
      <c r="D149" s="538">
        <f t="shared" si="56"/>
        <v>0</v>
      </c>
      <c r="E149" s="538">
        <f t="shared" si="56"/>
        <v>0</v>
      </c>
      <c r="F149" s="538">
        <f t="shared" si="56"/>
        <v>0</v>
      </c>
      <c r="G149" s="538">
        <f t="shared" si="56"/>
        <v>0</v>
      </c>
      <c r="H149" s="538">
        <f t="shared" si="56"/>
        <v>0</v>
      </c>
      <c r="I149" s="538">
        <f t="shared" si="56"/>
        <v>0</v>
      </c>
      <c r="J149" s="538">
        <f t="shared" si="56"/>
        <v>0</v>
      </c>
      <c r="K149" s="538">
        <f t="shared" si="56"/>
        <v>0</v>
      </c>
      <c r="L149" s="538">
        <f t="shared" si="56"/>
        <v>0</v>
      </c>
      <c r="M149" s="538">
        <f t="shared" si="56"/>
        <v>0</v>
      </c>
      <c r="N149" s="538">
        <f t="shared" si="56"/>
        <v>0</v>
      </c>
      <c r="O149" s="539">
        <f t="shared" si="56"/>
        <v>0</v>
      </c>
      <c r="P149" s="534">
        <f t="shared" si="43"/>
        <v>0</v>
      </c>
    </row>
    <row r="150" spans="1:16">
      <c r="A150" s="488" t="s">
        <v>765</v>
      </c>
      <c r="B150" s="538">
        <f t="shared" ref="B150:O150" si="57">B105</f>
        <v>0</v>
      </c>
      <c r="C150" s="538">
        <f t="shared" si="57"/>
        <v>0</v>
      </c>
      <c r="D150" s="538">
        <f t="shared" si="57"/>
        <v>0</v>
      </c>
      <c r="E150" s="538">
        <f t="shared" si="57"/>
        <v>0</v>
      </c>
      <c r="F150" s="538">
        <f t="shared" si="57"/>
        <v>0</v>
      </c>
      <c r="G150" s="538">
        <f t="shared" si="57"/>
        <v>0</v>
      </c>
      <c r="H150" s="538">
        <f t="shared" si="57"/>
        <v>0</v>
      </c>
      <c r="I150" s="538">
        <f t="shared" si="57"/>
        <v>0</v>
      </c>
      <c r="J150" s="538">
        <f t="shared" si="57"/>
        <v>0</v>
      </c>
      <c r="K150" s="538">
        <f t="shared" si="57"/>
        <v>0</v>
      </c>
      <c r="L150" s="538">
        <f t="shared" si="57"/>
        <v>0</v>
      </c>
      <c r="M150" s="538">
        <f t="shared" si="57"/>
        <v>0</v>
      </c>
      <c r="N150" s="538">
        <f t="shared" si="57"/>
        <v>0</v>
      </c>
      <c r="O150" s="539">
        <f t="shared" si="57"/>
        <v>0</v>
      </c>
      <c r="P150" s="534">
        <f t="shared" si="43"/>
        <v>0</v>
      </c>
    </row>
    <row r="151" spans="1:16">
      <c r="A151" s="452" t="s">
        <v>767</v>
      </c>
      <c r="B151" s="538">
        <f t="shared" ref="B151:O151" si="58">B106</f>
        <v>0</v>
      </c>
      <c r="C151" s="538">
        <f t="shared" si="58"/>
        <v>0</v>
      </c>
      <c r="D151" s="538">
        <f t="shared" si="58"/>
        <v>0</v>
      </c>
      <c r="E151" s="538">
        <f t="shared" si="58"/>
        <v>0</v>
      </c>
      <c r="F151" s="538">
        <f t="shared" si="58"/>
        <v>0</v>
      </c>
      <c r="G151" s="538">
        <f t="shared" si="58"/>
        <v>0</v>
      </c>
      <c r="H151" s="538">
        <f t="shared" si="58"/>
        <v>0</v>
      </c>
      <c r="I151" s="538">
        <f t="shared" si="58"/>
        <v>0</v>
      </c>
      <c r="J151" s="538">
        <f t="shared" si="58"/>
        <v>0</v>
      </c>
      <c r="K151" s="538">
        <f t="shared" si="58"/>
        <v>0</v>
      </c>
      <c r="L151" s="538">
        <f t="shared" si="58"/>
        <v>0</v>
      </c>
      <c r="M151" s="538">
        <f t="shared" si="58"/>
        <v>0</v>
      </c>
      <c r="N151" s="538">
        <f t="shared" si="58"/>
        <v>0</v>
      </c>
      <c r="O151" s="539">
        <f t="shared" si="58"/>
        <v>0</v>
      </c>
      <c r="P151" s="534">
        <f t="shared" si="43"/>
        <v>0</v>
      </c>
    </row>
    <row r="152" spans="1:16">
      <c r="A152" s="452" t="s">
        <v>756</v>
      </c>
      <c r="B152" s="538">
        <f t="shared" ref="B152:C154" si="59">B109</f>
        <v>0</v>
      </c>
      <c r="C152" s="538">
        <f t="shared" si="59"/>
        <v>0</v>
      </c>
      <c r="D152" s="538">
        <f>AD66</f>
        <v>0</v>
      </c>
      <c r="E152" s="538">
        <f t="shared" ref="E152:O152" si="60">E109</f>
        <v>168</v>
      </c>
      <c r="F152" s="538">
        <f t="shared" si="60"/>
        <v>0</v>
      </c>
      <c r="G152" s="538">
        <f t="shared" si="60"/>
        <v>0</v>
      </c>
      <c r="H152" s="538">
        <f t="shared" si="60"/>
        <v>76</v>
      </c>
      <c r="I152" s="538">
        <f t="shared" si="60"/>
        <v>0</v>
      </c>
      <c r="J152" s="538">
        <f t="shared" si="60"/>
        <v>0</v>
      </c>
      <c r="K152" s="538">
        <f t="shared" si="60"/>
        <v>0</v>
      </c>
      <c r="L152" s="538">
        <f t="shared" si="60"/>
        <v>0</v>
      </c>
      <c r="M152" s="538">
        <f t="shared" si="60"/>
        <v>0</v>
      </c>
      <c r="N152" s="538">
        <f t="shared" si="60"/>
        <v>0</v>
      </c>
      <c r="O152" s="539">
        <f t="shared" si="60"/>
        <v>0</v>
      </c>
      <c r="P152" s="534">
        <f t="shared" si="43"/>
        <v>244</v>
      </c>
    </row>
    <row r="153" spans="1:16">
      <c r="A153" s="452" t="s">
        <v>757</v>
      </c>
      <c r="B153" s="538">
        <f t="shared" si="59"/>
        <v>0</v>
      </c>
      <c r="C153" s="538">
        <f t="shared" si="59"/>
        <v>0</v>
      </c>
      <c r="D153" s="538">
        <f>D110</f>
        <v>0</v>
      </c>
      <c r="E153" s="538">
        <f t="shared" ref="E153:O153" si="61">E110</f>
        <v>0</v>
      </c>
      <c r="F153" s="538">
        <f t="shared" si="61"/>
        <v>0</v>
      </c>
      <c r="G153" s="538">
        <f t="shared" si="61"/>
        <v>0</v>
      </c>
      <c r="H153" s="538">
        <f t="shared" si="61"/>
        <v>0</v>
      </c>
      <c r="I153" s="538">
        <f t="shared" si="61"/>
        <v>0</v>
      </c>
      <c r="J153" s="538">
        <f t="shared" si="61"/>
        <v>0</v>
      </c>
      <c r="K153" s="538">
        <f t="shared" si="61"/>
        <v>0</v>
      </c>
      <c r="L153" s="538">
        <f t="shared" si="61"/>
        <v>0</v>
      </c>
      <c r="M153" s="538">
        <f t="shared" si="61"/>
        <v>0</v>
      </c>
      <c r="N153" s="538">
        <f t="shared" si="61"/>
        <v>0</v>
      </c>
      <c r="O153" s="539">
        <f t="shared" si="61"/>
        <v>0</v>
      </c>
      <c r="P153" s="534">
        <f t="shared" si="43"/>
        <v>0</v>
      </c>
    </row>
    <row r="154" spans="1:16">
      <c r="A154" s="452" t="s">
        <v>768</v>
      </c>
      <c r="B154" s="538">
        <f t="shared" si="59"/>
        <v>0</v>
      </c>
      <c r="C154" s="538">
        <f t="shared" si="59"/>
        <v>0</v>
      </c>
      <c r="D154" s="538">
        <f>D111</f>
        <v>0</v>
      </c>
      <c r="E154" s="538">
        <f t="shared" ref="E154:O154" si="62">E111</f>
        <v>0</v>
      </c>
      <c r="F154" s="538">
        <f t="shared" si="62"/>
        <v>0</v>
      </c>
      <c r="G154" s="538">
        <f t="shared" si="62"/>
        <v>0</v>
      </c>
      <c r="H154" s="538">
        <f t="shared" si="62"/>
        <v>0</v>
      </c>
      <c r="I154" s="538">
        <f t="shared" si="62"/>
        <v>0</v>
      </c>
      <c r="J154" s="538">
        <f t="shared" si="62"/>
        <v>0</v>
      </c>
      <c r="K154" s="538">
        <f t="shared" si="62"/>
        <v>0</v>
      </c>
      <c r="L154" s="538">
        <f t="shared" si="62"/>
        <v>0</v>
      </c>
      <c r="M154" s="538">
        <f t="shared" si="62"/>
        <v>0</v>
      </c>
      <c r="N154" s="538">
        <f t="shared" si="62"/>
        <v>0</v>
      </c>
      <c r="O154" s="539">
        <f t="shared" si="62"/>
        <v>0</v>
      </c>
      <c r="P154" s="534">
        <f t="shared" si="43"/>
        <v>0</v>
      </c>
    </row>
    <row r="155" spans="1:16">
      <c r="A155" s="514"/>
      <c r="B155" s="540"/>
      <c r="C155" s="540"/>
      <c r="D155" s="540"/>
      <c r="E155" s="540"/>
      <c r="F155" s="540"/>
      <c r="G155" s="540"/>
      <c r="H155" s="540"/>
      <c r="I155" s="540"/>
      <c r="J155" s="540"/>
      <c r="K155" s="540"/>
      <c r="L155" s="540"/>
      <c r="M155" s="540"/>
      <c r="N155" s="540"/>
      <c r="O155" s="541"/>
      <c r="P155" s="542"/>
    </row>
    <row r="156" spans="1:16">
      <c r="A156" s="452" t="s">
        <v>791</v>
      </c>
      <c r="B156" s="431">
        <f>ROUND(('UAT9-Sep'!B117+'UAT9-Sep'!B118)*B152,0)+'UAT9-Sep'!B153</f>
        <v>0</v>
      </c>
      <c r="C156" s="431">
        <f>ROUND(('UAT9-Sep'!C117+'UAT9-Sep'!C118)*C152,0)+'UAT9-Sep'!C153</f>
        <v>0</v>
      </c>
      <c r="D156" s="431">
        <f>ROUND(('UAT9-Sep'!D117+'UAT9-Sep'!D118)*D152,0)+'UAT9-Sep'!D153</f>
        <v>0</v>
      </c>
      <c r="E156" s="431">
        <f>ROUND(('UAT9-Sep'!E117+'UAT9-Sep'!E118)*E152,0)+'UAT9-Sep'!E153</f>
        <v>34432176</v>
      </c>
      <c r="F156" s="431">
        <f>ROUND(('UAT9-Sep'!F117+'UAT9-Sep'!F118)*F152,0)+'UAT9-Sep'!F153</f>
        <v>0</v>
      </c>
      <c r="G156" s="431">
        <f>ROUND(('UAT9-Sep'!G117+'UAT9-Sep'!G118)*G152,0)+'UAT9-Sep'!G153</f>
        <v>0</v>
      </c>
      <c r="H156" s="431">
        <f>ROUND(('UAT9-Sep'!H117+'UAT9-Sep'!H118)*H152,0)+'UAT9-Sep'!H153</f>
        <v>73220072</v>
      </c>
      <c r="I156" s="431">
        <f>ROUND(('UAT9-Sep'!I117+'UAT9-Sep'!I118)*I152,0)+'UAT9-Sep'!I153</f>
        <v>0</v>
      </c>
      <c r="J156" s="431">
        <f>ROUND(('UAT9-Sep'!J117+'UAT9-Sep'!J118)*J152,0)+'UAT9-Sep'!J153</f>
        <v>0</v>
      </c>
      <c r="K156" s="431">
        <f>ROUND(('UAT9-Sep'!K117+'UAT9-Sep'!K118)*K152,0)+'UAT9-Sep'!K153</f>
        <v>0</v>
      </c>
      <c r="L156" s="431">
        <f>ROUND(('UAT9-Sep'!L117+'UAT9-Sep'!L118)*L152,0)+'UAT9-Sep'!L153</f>
        <v>0</v>
      </c>
      <c r="M156" s="431">
        <f>ROUND(('UAT9-Sep'!M117+'UAT9-Sep'!M118)*M152,0)+'UAT9-Sep'!M153</f>
        <v>0</v>
      </c>
      <c r="N156" s="431">
        <f>ROUND(('UAT9-Sep'!N117+'UAT9-Sep'!N118)*N152,0)+'UAT9-Sep'!N153</f>
        <v>0</v>
      </c>
      <c r="O156" s="493">
        <f>ROUND(('UAT9-Sep'!O117+'UAT9-Sep'!O118)*O152,0)+'UAT9-Sep'!O153</f>
        <v>0</v>
      </c>
      <c r="P156" s="534">
        <f t="shared" si="43"/>
        <v>107652248</v>
      </c>
    </row>
    <row r="157" spans="1:16">
      <c r="A157" s="452" t="s">
        <v>792</v>
      </c>
      <c r="B157" s="431">
        <f>ROUND(('UAT9-Sep'!B117+'UAT9-Sep'!B118)*(B153+B154+B145),0)+'UAT9-Sep'!B154</f>
        <v>0</v>
      </c>
      <c r="C157" s="431">
        <f>ROUND(('UAT9-Sep'!C117+'UAT9-Sep'!C118)*(C153+C154+C145),0)+'UAT9-Sep'!C154</f>
        <v>214316</v>
      </c>
      <c r="D157" s="431">
        <f>ROUND(('UAT9-Sep'!D117+'UAT9-Sep'!D118)*(D153+D154+D145),0)+'UAT9-Sep'!D154</f>
        <v>0</v>
      </c>
      <c r="E157" s="431">
        <f>ROUND(('UAT9-Sep'!E117+'UAT9-Sep'!E118)*(E153+E154+E145),0)+'UAT9-Sep'!E154</f>
        <v>0</v>
      </c>
      <c r="F157" s="431">
        <f>ROUND(('UAT9-Sep'!F117+'UAT9-Sep'!F118)*(F153+F154+F145),0)+'UAT9-Sep'!F154</f>
        <v>0</v>
      </c>
      <c r="G157" s="431">
        <f>ROUND(('UAT9-Sep'!G117+'UAT9-Sep'!G118)*(G153+G154+G145),0)+'UAT9-Sep'!G154</f>
        <v>0</v>
      </c>
      <c r="H157" s="431">
        <f>ROUND(('UAT9-Sep'!H117+'UAT9-Sep'!H118)*(H153+H154+H145),0)+'UAT9-Sep'!H154</f>
        <v>0</v>
      </c>
      <c r="I157" s="431">
        <f>ROUND(('UAT9-Sep'!I117+'UAT9-Sep'!I118)*(I153+I154+I145),0)+'UAT9-Sep'!I154</f>
        <v>0</v>
      </c>
      <c r="J157" s="431">
        <f>ROUND(('UAT9-Sep'!J117+'UAT9-Sep'!J118)*(J153+J154+J145),0)+'UAT9-Sep'!J154</f>
        <v>0</v>
      </c>
      <c r="K157" s="431">
        <f>ROUND(('UAT9-Sep'!K117+'UAT9-Sep'!K118)*(K153+K154+K145),0)+'UAT9-Sep'!K154</f>
        <v>3608160</v>
      </c>
      <c r="L157" s="431">
        <f>ROUND(('UAT9-Sep'!L117+'UAT9-Sep'!L118)*(L153+L154+L145),0)+'UAT9-Sep'!L154</f>
        <v>4017264</v>
      </c>
      <c r="M157" s="431">
        <f>ROUND(('UAT9-Sep'!M117+'UAT9-Sep'!M118)*(M153+M154+M145),0)+'UAT9-Sep'!M154</f>
        <v>0</v>
      </c>
      <c r="N157" s="431">
        <f>ROUND(('UAT9-Sep'!N117+'UAT9-Sep'!N118)*(N153+N154+N145),0)+'UAT9-Sep'!N154</f>
        <v>0</v>
      </c>
      <c r="O157" s="493">
        <f>ROUND(('UAT9-Sep'!O117+'UAT9-Sep'!O118)*(O153+O154+O145),0)+'UAT9-Sep'!O154</f>
        <v>0</v>
      </c>
      <c r="P157" s="534">
        <f t="shared" si="43"/>
        <v>7839740</v>
      </c>
    </row>
    <row r="158" spans="1:16">
      <c r="A158" s="436"/>
      <c r="B158" s="326"/>
      <c r="C158" s="326"/>
      <c r="D158" s="326"/>
      <c r="E158" s="326"/>
      <c r="F158" s="326"/>
      <c r="G158" s="326"/>
      <c r="H158" s="326"/>
      <c r="I158" s="326"/>
      <c r="J158" s="326"/>
      <c r="K158" s="326"/>
      <c r="L158" s="326"/>
      <c r="M158" s="326"/>
      <c r="N158" s="326"/>
      <c r="O158" s="326"/>
      <c r="P158" s="589"/>
    </row>
    <row r="159" spans="1:16" ht="15.6">
      <c r="A159" s="404" t="s">
        <v>775</v>
      </c>
      <c r="B159" s="14"/>
      <c r="C159" s="7"/>
      <c r="D159" s="7"/>
      <c r="E159" s="316"/>
      <c r="F159" s="7"/>
      <c r="G159" s="7"/>
      <c r="H159" s="7"/>
      <c r="I159" s="7"/>
      <c r="J159" s="7"/>
      <c r="K159" s="316"/>
      <c r="L159" s="316"/>
      <c r="M159" s="316"/>
      <c r="N159" s="316"/>
      <c r="O159" s="316"/>
      <c r="P159" s="589"/>
    </row>
    <row r="160" spans="1:16">
      <c r="A160" s="436" t="s">
        <v>431</v>
      </c>
      <c r="B160" s="531">
        <f>'UAT9-Sep'!B157</f>
        <v>149.81</v>
      </c>
      <c r="C160" s="531">
        <f>'UAT9-Sep'!C157</f>
        <v>138.41999999999999</v>
      </c>
      <c r="D160" s="531"/>
      <c r="E160" s="531">
        <f>'UAT9-Sep'!E157</f>
        <v>160</v>
      </c>
      <c r="F160" s="531">
        <f>'UAT9-Sep'!F157</f>
        <v>128</v>
      </c>
      <c r="G160" s="531">
        <f>'UAT9-Sep'!G157</f>
        <v>102.14</v>
      </c>
      <c r="H160" s="531">
        <f>'UAT9-Sep'!H157</f>
        <v>78.900000000000006</v>
      </c>
      <c r="I160" s="531">
        <f>'UAT9-Sep'!I157</f>
        <v>0</v>
      </c>
      <c r="J160" s="531">
        <f>'UAT9-Sep'!J157</f>
        <v>87.58</v>
      </c>
      <c r="K160" s="531">
        <f>'UAT9-Sep'!K157</f>
        <v>159.56</v>
      </c>
      <c r="L160" s="531">
        <f>'UAT9-Sep'!L157</f>
        <v>160</v>
      </c>
      <c r="M160" s="531">
        <f>'UAT9-Sep'!M157</f>
        <v>160</v>
      </c>
      <c r="N160" s="531">
        <f>'UAT9-Sep'!N157</f>
        <v>152.11000000000001</v>
      </c>
      <c r="O160" s="531">
        <f>'UAT9-Sep'!O157</f>
        <v>79.78</v>
      </c>
      <c r="P160" s="589">
        <f t="shared" si="43"/>
        <v>1556.3</v>
      </c>
    </row>
    <row r="161" spans="1:16">
      <c r="A161" s="436" t="s">
        <v>432</v>
      </c>
      <c r="B161" s="531">
        <f>'UAT9-Sep'!B158</f>
        <v>78.900000000000006</v>
      </c>
      <c r="C161" s="531">
        <f>'UAT9-Sep'!C158</f>
        <v>-29.590000000000003</v>
      </c>
      <c r="D161" s="531"/>
      <c r="E161" s="531">
        <f>'UAT9-Sep'!E158</f>
        <v>80</v>
      </c>
      <c r="F161" s="531">
        <f>'UAT9-Sep'!F158</f>
        <v>64</v>
      </c>
      <c r="G161" s="531">
        <f>'UAT9-Sep'!G158</f>
        <v>51.07</v>
      </c>
      <c r="H161" s="531">
        <f>'UAT9-Sep'!H158</f>
        <v>39.450000000000003</v>
      </c>
      <c r="I161" s="531">
        <f>'UAT9-Sep'!I158</f>
        <v>0</v>
      </c>
      <c r="J161" s="531">
        <f>'UAT9-Sep'!J158</f>
        <v>43.79</v>
      </c>
      <c r="K161" s="531">
        <f>'UAT9-Sep'!K158</f>
        <v>79.78</v>
      </c>
      <c r="L161" s="531">
        <f>'UAT9-Sep'!L158</f>
        <v>80</v>
      </c>
      <c r="M161" s="531">
        <f>'UAT9-Sep'!M158</f>
        <v>80</v>
      </c>
      <c r="N161" s="531">
        <f>'UAT9-Sep'!N158</f>
        <v>76.05</v>
      </c>
      <c r="O161" s="531">
        <f>'UAT9-Sep'!O158</f>
        <v>39.89</v>
      </c>
      <c r="P161" s="589">
        <f t="shared" si="43"/>
        <v>683.33999999999992</v>
      </c>
    </row>
    <row r="162" spans="1:16">
      <c r="A162" s="436" t="s">
        <v>433</v>
      </c>
      <c r="B162" s="531">
        <f>'UAT9-Sep'!B159</f>
        <v>0</v>
      </c>
      <c r="C162" s="531">
        <f>'UAT9-Sep'!C159</f>
        <v>154.80000000000001</v>
      </c>
      <c r="D162" s="531"/>
      <c r="E162" s="531">
        <f>'UAT9-Sep'!E159</f>
        <v>0</v>
      </c>
      <c r="F162" s="531">
        <f>'UAT9-Sep'!F159</f>
        <v>160</v>
      </c>
      <c r="G162" s="531">
        <f>'UAT9-Sep'!G159</f>
        <v>0</v>
      </c>
      <c r="H162" s="531">
        <f>'UAT9-Sep'!H159</f>
        <v>0</v>
      </c>
      <c r="I162" s="531">
        <f>'UAT9-Sep'!I159</f>
        <v>0</v>
      </c>
      <c r="J162" s="531">
        <f>'UAT9-Sep'!J159</f>
        <v>0</v>
      </c>
      <c r="K162" s="531">
        <f>'UAT9-Sep'!K159</f>
        <v>0</v>
      </c>
      <c r="L162" s="531">
        <f>'UAT9-Sep'!L159</f>
        <v>0</v>
      </c>
      <c r="M162" s="531">
        <f>'UAT9-Sep'!M159</f>
        <v>0</v>
      </c>
      <c r="N162" s="531">
        <f>'UAT9-Sep'!N159</f>
        <v>0</v>
      </c>
      <c r="O162" s="531">
        <f>'UAT9-Sep'!O159</f>
        <v>0</v>
      </c>
      <c r="P162" s="553">
        <f t="shared" si="43"/>
        <v>314.8</v>
      </c>
    </row>
    <row r="163" spans="1:16">
      <c r="A163" s="436" t="s">
        <v>434</v>
      </c>
      <c r="B163" s="531">
        <f>'UAT9-Sep'!B160</f>
        <v>39.480000000000004</v>
      </c>
      <c r="C163" s="531">
        <f>'UAT9-Sep'!C160</f>
        <v>0</v>
      </c>
      <c r="D163" s="531"/>
      <c r="E163" s="531">
        <f>'UAT9-Sep'!E160</f>
        <v>0</v>
      </c>
      <c r="F163" s="531">
        <f>'UAT9-Sep'!F160</f>
        <v>0</v>
      </c>
      <c r="G163" s="531">
        <f>'UAT9-Sep'!G160</f>
        <v>0</v>
      </c>
      <c r="H163" s="531">
        <f>'UAT9-Sep'!H160</f>
        <v>19.939999999999998</v>
      </c>
      <c r="I163" s="531">
        <f>'UAT9-Sep'!I160</f>
        <v>0</v>
      </c>
      <c r="J163" s="531">
        <f>'UAT9-Sep'!J160</f>
        <v>0</v>
      </c>
      <c r="K163" s="531">
        <f>'UAT9-Sep'!K160</f>
        <v>39.99</v>
      </c>
      <c r="L163" s="531">
        <f>'UAT9-Sep'!L160</f>
        <v>36.01</v>
      </c>
      <c r="M163" s="531">
        <f>'UAT9-Sep'!M160</f>
        <v>0</v>
      </c>
      <c r="N163" s="531">
        <f>'UAT9-Sep'!N160</f>
        <v>0</v>
      </c>
      <c r="O163" s="531">
        <f>'UAT9-Sep'!O160</f>
        <v>0</v>
      </c>
      <c r="P163" s="553">
        <f t="shared" si="43"/>
        <v>135.41999999999999</v>
      </c>
    </row>
    <row r="164" spans="1:16">
      <c r="A164" s="436" t="s">
        <v>435</v>
      </c>
      <c r="B164" s="531">
        <f>'UAT9-Sep'!B161</f>
        <v>11.379999999999999</v>
      </c>
      <c r="C164" s="531">
        <f>'UAT9-Sep'!C161</f>
        <v>0</v>
      </c>
      <c r="D164" s="531"/>
      <c r="E164" s="531">
        <f>'UAT9-Sep'!E161</f>
        <v>0</v>
      </c>
      <c r="F164" s="531">
        <f>'UAT9-Sep'!F161</f>
        <v>0</v>
      </c>
      <c r="G164" s="531">
        <f>'UAT9-Sep'!G161</f>
        <v>0</v>
      </c>
      <c r="H164" s="531">
        <f>'UAT9-Sep'!H161</f>
        <v>0</v>
      </c>
      <c r="I164" s="531">
        <f>'UAT9-Sep'!I161</f>
        <v>0</v>
      </c>
      <c r="J164" s="531">
        <f>'UAT9-Sep'!J161</f>
        <v>0</v>
      </c>
      <c r="K164" s="531">
        <f>'UAT9-Sep'!K161</f>
        <v>0</v>
      </c>
      <c r="L164" s="531">
        <f>'UAT9-Sep'!L161</f>
        <v>0</v>
      </c>
      <c r="M164" s="531">
        <f>'UAT9-Sep'!M161</f>
        <v>0</v>
      </c>
      <c r="N164" s="531">
        <f>'UAT9-Sep'!N161</f>
        <v>0</v>
      </c>
      <c r="O164" s="531">
        <f>'UAT9-Sep'!O161</f>
        <v>0</v>
      </c>
      <c r="P164" s="553">
        <f t="shared" si="43"/>
        <v>11.379999999999999</v>
      </c>
    </row>
    <row r="165" spans="1:16">
      <c r="A165" s="436"/>
      <c r="F165" s="5"/>
      <c r="G165" s="5"/>
      <c r="H165" s="5"/>
      <c r="I165" s="5"/>
      <c r="P165" s="341"/>
    </row>
    <row r="166" spans="1:16" ht="15.6">
      <c r="A166" s="404" t="s">
        <v>622</v>
      </c>
    </row>
    <row r="167" spans="1:16">
      <c r="A167" s="514" t="s">
        <v>477</v>
      </c>
      <c r="B167" s="515">
        <f>'UAT9-Sep'!B164</f>
        <v>7000000</v>
      </c>
      <c r="C167" s="515">
        <f>'UAT9-Sep'!C164</f>
        <v>6200000</v>
      </c>
      <c r="D167" s="515">
        <f>AA39</f>
        <v>11000000</v>
      </c>
      <c r="E167" s="515">
        <f>'UAT9-Sep'!E164</f>
        <v>11000000</v>
      </c>
      <c r="F167" s="515">
        <f>'UAT9-Sep'!F164</f>
        <v>16000000</v>
      </c>
      <c r="G167" s="515">
        <f>'UAT9-Sep'!G164</f>
        <v>81217500</v>
      </c>
      <c r="H167" s="515">
        <f>'UAT9-Sep'!H164</f>
        <v>127627500</v>
      </c>
      <c r="I167" s="515">
        <f>'UAT9-Sep'!I164</f>
        <v>97461000</v>
      </c>
      <c r="J167" s="515">
        <f>'UAT9-Sep'!J164</f>
        <v>55000000</v>
      </c>
      <c r="K167" s="515">
        <f>'UAT9-Sep'!K164</f>
        <v>10000000</v>
      </c>
      <c r="L167" s="515">
        <f>'UAT9-Sep'!L164</f>
        <v>11500000</v>
      </c>
      <c r="M167" s="515">
        <f>'UAT9-Sep'!M164</f>
        <v>7000000</v>
      </c>
      <c r="N167" s="515">
        <f>'UAT9-Sep'!N164</f>
        <v>8000000</v>
      </c>
      <c r="O167" s="515">
        <f>'UAT9-Sep'!O164</f>
        <v>6000000</v>
      </c>
    </row>
    <row r="168" spans="1:16">
      <c r="A168" s="442" t="s">
        <v>494</v>
      </c>
      <c r="B168" s="515">
        <f>'UAT9-Sep'!B166</f>
        <v>700000</v>
      </c>
      <c r="C168" s="515">
        <f>'UAT9-Sep'!C166</f>
        <v>620000</v>
      </c>
      <c r="D168" s="515">
        <f t="shared" ref="D168:D169" si="63">AA40</f>
        <v>1100000</v>
      </c>
      <c r="E168" s="515">
        <f>'UAT9-Sep'!E166</f>
        <v>0</v>
      </c>
      <c r="F168" s="515">
        <f>'UAT9-Sep'!F166</f>
        <v>0</v>
      </c>
      <c r="G168" s="515">
        <f>'UAT9-Sep'!G166</f>
        <v>0</v>
      </c>
      <c r="H168" s="515">
        <f>'UAT9-Sep'!H166</f>
        <v>12762750</v>
      </c>
      <c r="I168" s="515">
        <f>'UAT9-Sep'!I166</f>
        <v>0</v>
      </c>
      <c r="J168" s="515">
        <f>'UAT9-Sep'!J166</f>
        <v>5500000</v>
      </c>
      <c r="K168" s="515">
        <f>'UAT9-Sep'!K166</f>
        <v>1000000</v>
      </c>
      <c r="L168" s="515">
        <f>'UAT9-Sep'!L166</f>
        <v>0</v>
      </c>
      <c r="M168" s="515">
        <f>'UAT9-Sep'!M166</f>
        <v>1400000</v>
      </c>
      <c r="N168" s="515">
        <f>'UAT9-Sep'!N166</f>
        <v>1200000</v>
      </c>
      <c r="O168" s="515">
        <f>'UAT9-Sep'!O166</f>
        <v>0</v>
      </c>
    </row>
    <row r="169" spans="1:16">
      <c r="A169" s="408" t="s">
        <v>566</v>
      </c>
      <c r="B169" s="515">
        <f>'UAT9-Sep'!B167</f>
        <v>1400000</v>
      </c>
      <c r="C169" s="515">
        <f>'UAT9-Sep'!C167</f>
        <v>1240000</v>
      </c>
      <c r="D169" s="515">
        <f t="shared" si="63"/>
        <v>2350000</v>
      </c>
      <c r="E169" s="515">
        <f>'UAT9-Sep'!E167</f>
        <v>0</v>
      </c>
      <c r="F169" s="515">
        <f>'UAT9-Sep'!F167</f>
        <v>0</v>
      </c>
      <c r="G169" s="515">
        <f>'UAT9-Sep'!G167</f>
        <v>0</v>
      </c>
      <c r="H169" s="515">
        <f>'UAT9-Sep'!H167</f>
        <v>25525500</v>
      </c>
      <c r="I169" s="515">
        <f>'UAT9-Sep'!I167</f>
        <v>0</v>
      </c>
      <c r="J169" s="515">
        <f>'UAT9-Sep'!J167</f>
        <v>11000000</v>
      </c>
      <c r="K169" s="515">
        <f>'UAT9-Sep'!K167</f>
        <v>2000000</v>
      </c>
      <c r="L169" s="515">
        <f>'UAT9-Sep'!L167</f>
        <v>0</v>
      </c>
      <c r="M169" s="515">
        <f>'UAT9-Sep'!M167</f>
        <v>2100000</v>
      </c>
      <c r="N169" s="515">
        <f>'UAT9-Sep'!N167</f>
        <v>1650000</v>
      </c>
      <c r="O169" s="515">
        <f>'UAT9-Sep'!O167</f>
        <v>0</v>
      </c>
    </row>
    <row r="170" spans="1:16">
      <c r="A170" s="416" t="s">
        <v>493</v>
      </c>
      <c r="B170" s="515">
        <f>'UAT9-Sep'!B168</f>
        <v>3000000</v>
      </c>
      <c r="C170" s="515">
        <f>'UAT9-Sep'!C168</f>
        <v>3000000</v>
      </c>
      <c r="D170" s="515">
        <f>'UAT9-Sep'!D168</f>
        <v>0</v>
      </c>
      <c r="E170" s="515">
        <f>'UAT9-Sep'!E168</f>
        <v>3000000</v>
      </c>
      <c r="F170" s="515">
        <f>'UAT9-Sep'!F168</f>
        <v>3000000</v>
      </c>
      <c r="G170" s="515">
        <f>'UAT9-Sep'!G168</f>
        <v>0</v>
      </c>
      <c r="H170" s="515">
        <f>'UAT9-Sep'!H168</f>
        <v>0</v>
      </c>
      <c r="I170" s="515">
        <f>'UAT9-Sep'!I168</f>
        <v>0</v>
      </c>
      <c r="J170" s="515">
        <f>'UAT9-Sep'!J168</f>
        <v>3000000</v>
      </c>
      <c r="K170" s="515">
        <f>'UAT9-Sep'!K168</f>
        <v>3000000</v>
      </c>
      <c r="L170" s="515">
        <f>'UAT9-Sep'!L168</f>
        <v>3000000</v>
      </c>
      <c r="M170" s="515">
        <f>'UAT9-Sep'!M168</f>
        <v>3000000</v>
      </c>
      <c r="N170" s="515">
        <f>'UAT9-Sep'!N168</f>
        <v>3000000</v>
      </c>
      <c r="O170" s="515">
        <f>'UAT9-Sep'!O168</f>
        <v>0</v>
      </c>
    </row>
    <row r="171" spans="1:16">
      <c r="A171" s="405" t="s">
        <v>528</v>
      </c>
      <c r="B171" s="515">
        <f>'UAT9-Sep'!B169</f>
        <v>3500000</v>
      </c>
      <c r="C171" s="515">
        <f>'UAT9-Sep'!C169</f>
        <v>3500000</v>
      </c>
      <c r="D171" s="515">
        <f>'UAT9-Sep'!D169</f>
        <v>0</v>
      </c>
      <c r="E171" s="515">
        <f>'UAT9-Sep'!E169</f>
        <v>3500000</v>
      </c>
      <c r="F171" s="515">
        <f>'UAT9-Sep'!F169</f>
        <v>3500000</v>
      </c>
      <c r="G171" s="515">
        <f>'UAT9-Sep'!G169</f>
        <v>0</v>
      </c>
      <c r="H171" s="515">
        <f>'UAT9-Sep'!H169</f>
        <v>4641000</v>
      </c>
      <c r="I171" s="515">
        <f>'UAT9-Sep'!I169</f>
        <v>4641000</v>
      </c>
      <c r="J171" s="515">
        <f>'UAT9-Sep'!J169</f>
        <v>3500000</v>
      </c>
      <c r="K171" s="515">
        <f>'UAT9-Sep'!K169</f>
        <v>3500000</v>
      </c>
      <c r="L171" s="515">
        <f>'UAT9-Sep'!L169</f>
        <v>3500000</v>
      </c>
      <c r="M171" s="515">
        <f>'UAT9-Sep'!M169</f>
        <v>3500000</v>
      </c>
      <c r="N171" s="515">
        <f>'UAT9-Sep'!N169</f>
        <v>3500000</v>
      </c>
      <c r="O171" s="515">
        <f>'UAT9-Sep'!O169</f>
        <v>0</v>
      </c>
    </row>
    <row r="172" spans="1:16">
      <c r="A172" s="416" t="s">
        <v>592</v>
      </c>
      <c r="B172" s="515">
        <f>'UAT9-Sep'!B170</f>
        <v>2500000</v>
      </c>
      <c r="C172" s="515">
        <f>'UAT9-Sep'!C170</f>
        <v>2500000</v>
      </c>
      <c r="D172" s="515">
        <f>'UAT9-Sep'!D170</f>
        <v>0</v>
      </c>
      <c r="E172" s="515">
        <f>'UAT9-Sep'!E170</f>
        <v>2500000</v>
      </c>
      <c r="F172" s="515">
        <f>'UAT9-Sep'!F170</f>
        <v>2500000</v>
      </c>
      <c r="G172" s="515">
        <f>'UAT9-Sep'!G170</f>
        <v>0</v>
      </c>
      <c r="H172" s="515">
        <f>'UAT9-Sep'!H170</f>
        <v>0</v>
      </c>
      <c r="I172" s="515">
        <f>'UAT9-Sep'!I170</f>
        <v>0</v>
      </c>
      <c r="J172" s="515">
        <f>'UAT9-Sep'!J170</f>
        <v>2500000</v>
      </c>
      <c r="K172" s="515">
        <f>'UAT9-Sep'!K170</f>
        <v>2500000</v>
      </c>
      <c r="L172" s="515">
        <f>'UAT9-Sep'!L170</f>
        <v>2500000</v>
      </c>
      <c r="M172" s="515">
        <f>'UAT9-Sep'!M170</f>
        <v>2500000</v>
      </c>
      <c r="N172" s="515">
        <f>'UAT9-Sep'!N170</f>
        <v>2500000</v>
      </c>
      <c r="O172" s="515">
        <f>'UAT9-Sep'!O170</f>
        <v>0</v>
      </c>
    </row>
    <row r="173" spans="1:16">
      <c r="A173" s="408" t="s">
        <v>491</v>
      </c>
      <c r="B173" s="515">
        <f>'UAT9-Sep'!B171</f>
        <v>730000</v>
      </c>
      <c r="C173" s="515">
        <f>'UAT9-Sep'!C171</f>
        <v>730000</v>
      </c>
      <c r="D173" s="515">
        <f>'UAT9-Sep'!D171</f>
        <v>0</v>
      </c>
      <c r="E173" s="515">
        <f>'UAT9-Sep'!E171</f>
        <v>730000</v>
      </c>
      <c r="F173" s="515">
        <f>'UAT9-Sep'!F171</f>
        <v>730000</v>
      </c>
      <c r="G173" s="515">
        <f>'UAT9-Sep'!G171</f>
        <v>0</v>
      </c>
      <c r="H173" s="515">
        <f>'UAT9-Sep'!H171</f>
        <v>0</v>
      </c>
      <c r="I173" s="515">
        <f>'UAT9-Sep'!I171</f>
        <v>0</v>
      </c>
      <c r="J173" s="515">
        <f>'UAT9-Sep'!J171</f>
        <v>730000</v>
      </c>
      <c r="K173" s="515">
        <f>'UAT9-Sep'!K171</f>
        <v>730000</v>
      </c>
      <c r="L173" s="515">
        <f>'UAT9-Sep'!L171</f>
        <v>730000</v>
      </c>
      <c r="M173" s="515">
        <f>'UAT9-Sep'!M171</f>
        <v>730000</v>
      </c>
      <c r="N173" s="515">
        <f>'UAT9-Sep'!N171</f>
        <v>730000</v>
      </c>
      <c r="O173" s="515">
        <f>'UAT9-Sep'!O171</f>
        <v>0</v>
      </c>
    </row>
    <row r="174" spans="1:16">
      <c r="A174" s="408" t="s">
        <v>497</v>
      </c>
      <c r="B174" s="515">
        <f>'UAT9-Sep'!B172</f>
        <v>4000000</v>
      </c>
      <c r="C174" s="515">
        <f>'UAT9-Sep'!C172</f>
        <v>4000000</v>
      </c>
      <c r="D174" s="515">
        <f>'UAT9-Sep'!D172</f>
        <v>0</v>
      </c>
      <c r="E174" s="515">
        <f>'UAT9-Sep'!E172</f>
        <v>4000000</v>
      </c>
      <c r="F174" s="515">
        <f>'UAT9-Sep'!F172</f>
        <v>4000000</v>
      </c>
      <c r="G174" s="515">
        <f>'UAT9-Sep'!G172</f>
        <v>0</v>
      </c>
      <c r="H174" s="515">
        <f>'UAT9-Sep'!H172</f>
        <v>5221125</v>
      </c>
      <c r="I174" s="515">
        <f>'UAT9-Sep'!I172</f>
        <v>5221125</v>
      </c>
      <c r="J174" s="515">
        <f>'UAT9-Sep'!J172</f>
        <v>4000000</v>
      </c>
      <c r="K174" s="515">
        <f>'UAT9-Sep'!K172</f>
        <v>4000000</v>
      </c>
      <c r="L174" s="515">
        <f>'UAT9-Sep'!L172</f>
        <v>4000000</v>
      </c>
      <c r="M174" s="515">
        <f>'UAT9-Sep'!M172</f>
        <v>4000000</v>
      </c>
      <c r="N174" s="515">
        <f>'UAT9-Sep'!N172</f>
        <v>4000000</v>
      </c>
      <c r="O174" s="515">
        <f>'UAT9-Sep'!O172</f>
        <v>0</v>
      </c>
    </row>
    <row r="175" spans="1:16">
      <c r="A175" s="6" t="s">
        <v>623</v>
      </c>
      <c r="B175" s="443">
        <f t="shared" ref="B175:O175" si="64">B105+B106+B107</f>
        <v>0</v>
      </c>
      <c r="C175" s="443">
        <f t="shared" si="64"/>
        <v>0</v>
      </c>
      <c r="D175" s="443">
        <f t="shared" si="64"/>
        <v>0</v>
      </c>
      <c r="E175" s="443">
        <f t="shared" si="64"/>
        <v>0</v>
      </c>
      <c r="F175" s="443">
        <f t="shared" si="64"/>
        <v>0</v>
      </c>
      <c r="G175" s="443">
        <f t="shared" si="64"/>
        <v>0</v>
      </c>
      <c r="H175" s="443">
        <f t="shared" si="64"/>
        <v>0</v>
      </c>
      <c r="I175" s="443">
        <f t="shared" si="64"/>
        <v>0</v>
      </c>
      <c r="J175" s="443">
        <f t="shared" si="64"/>
        <v>0</v>
      </c>
      <c r="K175" s="443">
        <f t="shared" si="64"/>
        <v>0</v>
      </c>
      <c r="L175" s="443">
        <f t="shared" si="64"/>
        <v>0</v>
      </c>
      <c r="M175" s="443">
        <f t="shared" si="64"/>
        <v>0</v>
      </c>
      <c r="N175" s="443">
        <f t="shared" si="64"/>
        <v>0</v>
      </c>
      <c r="O175" s="443">
        <f t="shared" si="64"/>
        <v>0</v>
      </c>
    </row>
    <row r="176" spans="1:16">
      <c r="A176" s="6" t="s">
        <v>625</v>
      </c>
      <c r="B176" s="443">
        <f t="shared" ref="B176:O176" si="65">B110+B111</f>
        <v>0</v>
      </c>
      <c r="C176" s="443">
        <f t="shared" si="65"/>
        <v>0</v>
      </c>
      <c r="D176" s="443">
        <f t="shared" si="65"/>
        <v>0</v>
      </c>
      <c r="E176" s="443">
        <f t="shared" si="65"/>
        <v>0</v>
      </c>
      <c r="F176" s="443">
        <f t="shared" si="65"/>
        <v>0</v>
      </c>
      <c r="G176" s="443">
        <f t="shared" si="65"/>
        <v>0</v>
      </c>
      <c r="H176" s="443">
        <f t="shared" si="65"/>
        <v>0</v>
      </c>
      <c r="I176" s="443">
        <f t="shared" si="65"/>
        <v>0</v>
      </c>
      <c r="J176" s="443">
        <f t="shared" si="65"/>
        <v>0</v>
      </c>
      <c r="K176" s="443">
        <f t="shared" si="65"/>
        <v>0</v>
      </c>
      <c r="L176" s="443">
        <f t="shared" si="65"/>
        <v>0</v>
      </c>
      <c r="M176" s="443">
        <f t="shared" si="65"/>
        <v>0</v>
      </c>
      <c r="N176" s="443">
        <f t="shared" si="65"/>
        <v>0</v>
      </c>
      <c r="O176" s="443">
        <f t="shared" si="65"/>
        <v>0</v>
      </c>
    </row>
    <row r="177" spans="1:15">
      <c r="A177" s="405" t="s">
        <v>606</v>
      </c>
      <c r="B177" s="443"/>
      <c r="C177" s="443"/>
      <c r="D177" s="443"/>
      <c r="E177" s="443"/>
      <c r="F177" s="443"/>
      <c r="G177" s="443">
        <f>'UAT9-Sep'!G175</f>
        <v>2320500</v>
      </c>
      <c r="H177" s="443">
        <f>'UAT9-Sep'!H175</f>
        <v>2320500</v>
      </c>
      <c r="I177" s="443">
        <f>'UAT9-Sep'!I175</f>
        <v>2320500</v>
      </c>
      <c r="J177" s="443"/>
      <c r="K177" s="443"/>
      <c r="L177" s="443"/>
      <c r="M177" s="443"/>
      <c r="N177" s="443"/>
      <c r="O177" s="443"/>
    </row>
    <row r="178" spans="1:15">
      <c r="A178" s="405" t="s">
        <v>607</v>
      </c>
      <c r="B178" s="443"/>
      <c r="C178" s="443"/>
      <c r="D178" s="443"/>
      <c r="E178" s="443"/>
      <c r="F178" s="443"/>
      <c r="G178" s="443">
        <f>'UAT9-Sep'!G176</f>
        <v>4641000</v>
      </c>
      <c r="H178" s="443">
        <f>'UAT9-Sep'!H176</f>
        <v>4641000</v>
      </c>
      <c r="I178" s="443">
        <f>'UAT9-Sep'!I176</f>
        <v>4641000</v>
      </c>
      <c r="J178" s="443"/>
      <c r="K178" s="443"/>
      <c r="L178" s="443"/>
      <c r="M178" s="443"/>
      <c r="N178" s="443"/>
      <c r="O178" s="443"/>
    </row>
    <row r="179" spans="1:15">
      <c r="A179" s="6" t="s">
        <v>1343</v>
      </c>
      <c r="B179" s="443">
        <f t="shared" ref="B179:O179" si="66">B167-B177-B178</f>
        <v>7000000</v>
      </c>
      <c r="C179" s="443">
        <f t="shared" si="66"/>
        <v>6200000</v>
      </c>
      <c r="D179" s="443">
        <f t="shared" si="66"/>
        <v>11000000</v>
      </c>
      <c r="E179" s="443">
        <f t="shared" si="66"/>
        <v>11000000</v>
      </c>
      <c r="F179" s="443">
        <f t="shared" si="66"/>
        <v>16000000</v>
      </c>
      <c r="G179" s="443">
        <f t="shared" si="66"/>
        <v>74256000</v>
      </c>
      <c r="H179" s="443">
        <f t="shared" si="66"/>
        <v>120666000</v>
      </c>
      <c r="I179" s="443">
        <f t="shared" si="66"/>
        <v>90499500</v>
      </c>
      <c r="J179" s="443">
        <f t="shared" si="66"/>
        <v>55000000</v>
      </c>
      <c r="K179" s="443">
        <f t="shared" si="66"/>
        <v>10000000</v>
      </c>
      <c r="L179" s="443">
        <f t="shared" si="66"/>
        <v>11500000</v>
      </c>
      <c r="M179" s="443">
        <f t="shared" si="66"/>
        <v>7000000</v>
      </c>
      <c r="N179" s="443">
        <f t="shared" si="66"/>
        <v>8000000</v>
      </c>
      <c r="O179" s="443">
        <f t="shared" si="66"/>
        <v>6000000</v>
      </c>
    </row>
    <row r="180" spans="1:15">
      <c r="A180" s="6" t="s">
        <v>1344</v>
      </c>
      <c r="B180" s="443">
        <f t="shared" ref="B180:O180" si="67">B167-ROUND(B177/B13,0)-ROUND(B178/B13,0)</f>
        <v>7000000</v>
      </c>
      <c r="C180" s="443">
        <f t="shared" si="67"/>
        <v>6200000</v>
      </c>
      <c r="D180" s="443">
        <f t="shared" si="67"/>
        <v>11000000</v>
      </c>
      <c r="E180" s="443">
        <f t="shared" si="67"/>
        <v>11000000</v>
      </c>
      <c r="F180" s="443">
        <f t="shared" si="67"/>
        <v>16000000</v>
      </c>
      <c r="G180" s="443">
        <f t="shared" si="67"/>
        <v>74256000</v>
      </c>
      <c r="H180" s="443">
        <f t="shared" si="67"/>
        <v>113704500</v>
      </c>
      <c r="I180" s="443">
        <f t="shared" si="67"/>
        <v>88179000</v>
      </c>
      <c r="J180" s="443">
        <f t="shared" si="67"/>
        <v>55000000</v>
      </c>
      <c r="K180" s="443">
        <f t="shared" si="67"/>
        <v>10000000</v>
      </c>
      <c r="L180" s="443">
        <f t="shared" si="67"/>
        <v>11500000</v>
      </c>
      <c r="M180" s="443">
        <f t="shared" si="67"/>
        <v>7000000</v>
      </c>
      <c r="N180" s="443">
        <f t="shared" si="67"/>
        <v>8000000</v>
      </c>
      <c r="O180" s="443">
        <f t="shared" si="67"/>
        <v>6000000</v>
      </c>
    </row>
    <row r="181" spans="1:15">
      <c r="A181" s="6" t="s">
        <v>1345</v>
      </c>
      <c r="B181" s="443">
        <f t="shared" ref="B181:O181" si="68">MIN(IF(OR(B19="A",B19="B"),0,ROUND((B180+B168+B169+B171)*B13/$B$4,0)*$B$5),29800000)</f>
        <v>0</v>
      </c>
      <c r="C181" s="443">
        <f t="shared" si="68"/>
        <v>0</v>
      </c>
      <c r="D181" s="443">
        <f t="shared" si="68"/>
        <v>0</v>
      </c>
      <c r="E181" s="443">
        <f t="shared" si="68"/>
        <v>0</v>
      </c>
      <c r="F181" s="443">
        <f t="shared" si="68"/>
        <v>0</v>
      </c>
      <c r="G181" s="443">
        <f t="shared" si="68"/>
        <v>29800000</v>
      </c>
      <c r="H181" s="443">
        <f t="shared" si="68"/>
        <v>29800000</v>
      </c>
      <c r="I181" s="443">
        <f t="shared" si="68"/>
        <v>29800000</v>
      </c>
      <c r="J181" s="443">
        <f t="shared" si="68"/>
        <v>0</v>
      </c>
      <c r="K181" s="443">
        <f t="shared" si="68"/>
        <v>0</v>
      </c>
      <c r="L181" s="443">
        <f t="shared" si="68"/>
        <v>0</v>
      </c>
      <c r="M181" s="443">
        <f t="shared" si="68"/>
        <v>0</v>
      </c>
      <c r="N181" s="443">
        <f t="shared" si="68"/>
        <v>0</v>
      </c>
      <c r="O181" s="443">
        <f t="shared" si="68"/>
        <v>0</v>
      </c>
    </row>
    <row r="182" spans="1:15">
      <c r="A182" s="6" t="s">
        <v>1346</v>
      </c>
      <c r="B182" s="443">
        <f t="shared" ref="B182:O182" si="69">IF(OR(B19="A",B19="B"),0,ROUND((B180+B168+B169+B171)*B13/$B$4,0)*$B$5)</f>
        <v>0</v>
      </c>
      <c r="C182" s="443">
        <f t="shared" si="69"/>
        <v>0</v>
      </c>
      <c r="D182" s="443">
        <f t="shared" si="69"/>
        <v>0</v>
      </c>
      <c r="E182" s="443">
        <f t="shared" si="69"/>
        <v>0</v>
      </c>
      <c r="F182" s="443">
        <f t="shared" si="69"/>
        <v>0</v>
      </c>
      <c r="G182" s="443">
        <f t="shared" si="69"/>
        <v>75200000</v>
      </c>
      <c r="H182" s="443">
        <f t="shared" si="69"/>
        <v>79312500</v>
      </c>
      <c r="I182" s="443">
        <f t="shared" si="69"/>
        <v>70500000</v>
      </c>
      <c r="J182" s="443">
        <f t="shared" si="69"/>
        <v>0</v>
      </c>
      <c r="K182" s="443">
        <f t="shared" si="69"/>
        <v>0</v>
      </c>
      <c r="L182" s="443">
        <f t="shared" si="69"/>
        <v>0</v>
      </c>
      <c r="M182" s="443">
        <f t="shared" si="69"/>
        <v>0</v>
      </c>
      <c r="N182" s="443">
        <f t="shared" si="69"/>
        <v>0</v>
      </c>
      <c r="O182" s="443">
        <f t="shared" si="69"/>
        <v>0</v>
      </c>
    </row>
    <row r="183" spans="1:15">
      <c r="A183" s="6" t="s">
        <v>657</v>
      </c>
      <c r="B183" s="5">
        <v>0</v>
      </c>
      <c r="C183" s="5">
        <v>0</v>
      </c>
      <c r="D183" s="5">
        <v>0</v>
      </c>
      <c r="E183" s="5">
        <v>0</v>
      </c>
      <c r="F183" s="5">
        <v>0</v>
      </c>
      <c r="G183" s="5">
        <v>0</v>
      </c>
      <c r="H183" s="5">
        <v>0</v>
      </c>
      <c r="I183" s="5">
        <v>0</v>
      </c>
      <c r="J183" s="5">
        <v>0</v>
      </c>
      <c r="K183" s="5">
        <v>0</v>
      </c>
      <c r="L183" s="5">
        <v>0</v>
      </c>
      <c r="M183" s="5">
        <v>0</v>
      </c>
      <c r="N183" s="5">
        <v>0</v>
      </c>
      <c r="O183" s="5">
        <v>0</v>
      </c>
    </row>
    <row r="184" spans="1:15">
      <c r="A184" s="6" t="s">
        <v>812</v>
      </c>
      <c r="B184" s="5">
        <f>'UAT9-Sep'!B182</f>
        <v>0</v>
      </c>
      <c r="C184" s="5">
        <f>'UAT9-Sep'!C182</f>
        <v>0</v>
      </c>
      <c r="D184" s="5">
        <f>'UAT9-Sep'!D182</f>
        <v>0</v>
      </c>
      <c r="E184" s="587">
        <f>'UAT9-Sep'!E182+AC119</f>
        <v>36</v>
      </c>
      <c r="F184" s="5">
        <f>'UAT9-Sep'!F182</f>
        <v>0</v>
      </c>
      <c r="G184" s="5">
        <f>'UAT9-Sep'!G182</f>
        <v>0</v>
      </c>
      <c r="H184" s="587">
        <f>'UAT9-Sep'!H182+AC120</f>
        <v>19</v>
      </c>
      <c r="I184" s="5">
        <f>'UAT9-Sep'!I182</f>
        <v>0</v>
      </c>
      <c r="J184" s="5">
        <f>'UAT9-Sep'!J182</f>
        <v>0</v>
      </c>
      <c r="K184" s="5">
        <f>'UAT9-Sep'!K182</f>
        <v>0</v>
      </c>
      <c r="L184" s="5">
        <f>'UAT9-Sep'!L182</f>
        <v>0</v>
      </c>
      <c r="M184" s="5">
        <f>'UAT9-Sep'!M182</f>
        <v>0</v>
      </c>
      <c r="N184" s="5">
        <f>'UAT9-Sep'!N182</f>
        <v>0</v>
      </c>
      <c r="O184" s="5">
        <f>'UAT9-Sep'!O182</f>
        <v>0</v>
      </c>
    </row>
  </sheetData>
  <mergeCells count="4">
    <mergeCell ref="G6:J6"/>
    <mergeCell ref="X6:AA6"/>
    <mergeCell ref="P7:P8"/>
    <mergeCell ref="X9:AA12"/>
  </mergeCells>
  <phoneticPr fontId="11" type="noConversion"/>
  <pageMargins left="0.75" right="0.75" top="1" bottom="1" header="0.5" footer="0.5"/>
  <pageSetup paperSize="9" orientation="portrait" verticalDpi="9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56"/>
  <sheetViews>
    <sheetView topLeftCell="B10" workbookViewId="0">
      <selection activeCell="O30" sqref="O30:O32"/>
    </sheetView>
  </sheetViews>
  <sheetFormatPr defaultRowHeight="13.2"/>
  <cols>
    <col min="1" max="1" width="10.6640625" bestFit="1" customWidth="1"/>
    <col min="2" max="2" width="10.5546875" customWidth="1"/>
    <col min="3" max="3" width="12.88671875" customWidth="1"/>
    <col min="4" max="4" width="18.109375" customWidth="1"/>
    <col min="5" max="6" width="17.88671875" customWidth="1"/>
    <col min="7" max="7" width="16.109375" hidden="1" customWidth="1"/>
    <col min="9" max="13" width="17.5546875" customWidth="1"/>
    <col min="14" max="14" width="12.5546875" customWidth="1"/>
    <col min="15" max="15" width="11.6640625" customWidth="1"/>
  </cols>
  <sheetData>
    <row r="1" spans="1:21" ht="17.399999999999999">
      <c r="A1" s="130" t="s">
        <v>6</v>
      </c>
      <c r="B1" s="129"/>
      <c r="C1" s="129"/>
      <c r="D1" s="129"/>
      <c r="E1" s="129"/>
      <c r="F1" s="129"/>
      <c r="G1" s="129"/>
      <c r="H1" s="129"/>
      <c r="I1" s="129"/>
      <c r="J1" s="129"/>
      <c r="K1" s="129"/>
      <c r="L1" s="129"/>
      <c r="M1" s="129"/>
      <c r="N1" s="129"/>
      <c r="O1" s="129"/>
      <c r="P1" s="129"/>
      <c r="Q1" s="129"/>
      <c r="R1" s="129"/>
      <c r="S1" s="129"/>
      <c r="T1" s="129"/>
      <c r="U1" s="129"/>
    </row>
    <row r="3" spans="1:21" ht="30">
      <c r="A3" s="132" t="s">
        <v>333</v>
      </c>
      <c r="B3" s="129"/>
      <c r="C3" s="129"/>
      <c r="D3" s="129"/>
      <c r="E3" s="129"/>
      <c r="F3" s="129"/>
      <c r="G3" s="129"/>
      <c r="H3" s="129"/>
      <c r="I3" s="129"/>
      <c r="J3" s="133"/>
      <c r="K3" s="133"/>
      <c r="L3" s="129"/>
      <c r="M3" s="129"/>
      <c r="N3" s="129"/>
      <c r="O3" s="129"/>
      <c r="P3" s="129"/>
      <c r="Q3" s="129"/>
      <c r="R3" s="129"/>
      <c r="S3" s="129"/>
      <c r="T3" s="129"/>
      <c r="U3" s="129"/>
    </row>
    <row r="4" spans="1:21">
      <c r="A4" s="129"/>
      <c r="B4" s="129"/>
      <c r="C4" s="129"/>
      <c r="D4" s="129"/>
      <c r="E4" s="129"/>
      <c r="F4" s="129"/>
      <c r="G4" s="129"/>
      <c r="H4" s="129"/>
      <c r="I4" s="129"/>
      <c r="J4" s="129"/>
      <c r="K4" s="129"/>
      <c r="L4" s="129"/>
      <c r="M4" s="129"/>
      <c r="N4" s="129"/>
      <c r="O4" s="129"/>
      <c r="P4" s="129"/>
      <c r="Q4" s="129"/>
      <c r="R4" s="129"/>
      <c r="S4" s="129"/>
    </row>
    <row r="5" spans="1:21">
      <c r="A5" s="713" t="s">
        <v>133</v>
      </c>
      <c r="B5" s="714"/>
      <c r="C5" s="731" t="s">
        <v>134</v>
      </c>
      <c r="D5" s="713" t="s">
        <v>135</v>
      </c>
      <c r="E5" s="719"/>
      <c r="F5" s="719"/>
      <c r="G5" s="714"/>
      <c r="H5" s="722" t="s">
        <v>136</v>
      </c>
      <c r="I5" s="723"/>
      <c r="J5" s="723"/>
      <c r="K5" s="723"/>
      <c r="L5" s="723"/>
      <c r="M5" s="724"/>
      <c r="N5" s="731" t="s">
        <v>137</v>
      </c>
      <c r="O5" s="731" t="s">
        <v>138</v>
      </c>
      <c r="P5" s="129"/>
      <c r="Q5" s="129"/>
      <c r="R5" s="129"/>
      <c r="S5" s="129"/>
    </row>
    <row r="6" spans="1:21">
      <c r="A6" s="715"/>
      <c r="B6" s="716"/>
      <c r="C6" s="732"/>
      <c r="D6" s="715"/>
      <c r="E6" s="720"/>
      <c r="F6" s="720"/>
      <c r="G6" s="716"/>
      <c r="H6" s="725"/>
      <c r="I6" s="726"/>
      <c r="J6" s="726"/>
      <c r="K6" s="726"/>
      <c r="L6" s="726"/>
      <c r="M6" s="727"/>
      <c r="N6" s="732"/>
      <c r="O6" s="732"/>
      <c r="P6" s="129"/>
      <c r="Q6" s="129"/>
      <c r="R6" s="129"/>
      <c r="S6" s="129"/>
    </row>
    <row r="7" spans="1:21">
      <c r="A7" s="717"/>
      <c r="B7" s="718"/>
      <c r="C7" s="733"/>
      <c r="D7" s="717"/>
      <c r="E7" s="721"/>
      <c r="F7" s="721"/>
      <c r="G7" s="718"/>
      <c r="H7" s="728"/>
      <c r="I7" s="729"/>
      <c r="J7" s="729"/>
      <c r="K7" s="729"/>
      <c r="L7" s="729"/>
      <c r="M7" s="730"/>
      <c r="N7" s="733"/>
      <c r="O7" s="733"/>
      <c r="P7" s="129"/>
      <c r="Q7" s="129"/>
      <c r="R7" s="129"/>
      <c r="S7" s="129"/>
    </row>
    <row r="8" spans="1:21" ht="13.8">
      <c r="A8" s="134" t="s">
        <v>144</v>
      </c>
      <c r="B8" s="134" t="s">
        <v>145</v>
      </c>
      <c r="C8" s="134" t="s">
        <v>146</v>
      </c>
      <c r="D8" s="134" t="s">
        <v>147</v>
      </c>
      <c r="E8" s="134" t="s">
        <v>148</v>
      </c>
      <c r="F8" s="576" t="s">
        <v>892</v>
      </c>
      <c r="G8" s="134" t="s">
        <v>149</v>
      </c>
      <c r="H8" s="134" t="s">
        <v>150</v>
      </c>
      <c r="I8" s="134" t="s">
        <v>147</v>
      </c>
      <c r="J8" s="134" t="s">
        <v>151</v>
      </c>
      <c r="K8" s="134" t="s">
        <v>148</v>
      </c>
      <c r="L8" s="134" t="s">
        <v>152</v>
      </c>
      <c r="M8" s="134" t="s">
        <v>153</v>
      </c>
      <c r="N8" s="134"/>
      <c r="O8" s="134"/>
      <c r="P8" s="129"/>
      <c r="Q8" s="129"/>
      <c r="R8" s="129"/>
      <c r="S8" s="129"/>
      <c r="T8" s="129"/>
      <c r="U8" s="129"/>
    </row>
    <row r="9" spans="1:21" ht="13.8">
      <c r="A9" s="737" t="s">
        <v>154</v>
      </c>
      <c r="B9" s="737" t="s">
        <v>155</v>
      </c>
      <c r="C9" s="737" t="s">
        <v>143</v>
      </c>
      <c r="D9" s="739">
        <v>43896</v>
      </c>
      <c r="E9" s="739">
        <f>D9+G9</f>
        <v>43900</v>
      </c>
      <c r="F9" s="742">
        <f>NETWORKDAYS(D9,E9,$A$48:$A$56)</f>
        <v>3</v>
      </c>
      <c r="G9" s="737">
        <v>4</v>
      </c>
      <c r="H9" s="135">
        <v>1</v>
      </c>
      <c r="I9" s="663">
        <v>43875</v>
      </c>
      <c r="J9" s="664">
        <v>0.89166666666666661</v>
      </c>
      <c r="K9" s="135"/>
      <c r="L9" s="135"/>
      <c r="M9" s="135"/>
      <c r="N9" s="734">
        <v>9926782</v>
      </c>
      <c r="O9" s="737" t="s">
        <v>142</v>
      </c>
      <c r="P9" s="129"/>
      <c r="Q9" s="129"/>
      <c r="R9" s="129"/>
      <c r="S9" s="129"/>
      <c r="T9" s="129"/>
      <c r="U9" s="129"/>
    </row>
    <row r="10" spans="1:21" ht="13.8">
      <c r="A10" s="737"/>
      <c r="B10" s="737"/>
      <c r="C10" s="737"/>
      <c r="D10" s="740"/>
      <c r="E10" s="740"/>
      <c r="F10" s="743"/>
      <c r="G10" s="737"/>
      <c r="H10" s="135">
        <v>2</v>
      </c>
      <c r="I10" s="663">
        <v>43896</v>
      </c>
      <c r="J10" s="664">
        <v>0.65138888888888891</v>
      </c>
      <c r="K10" s="135"/>
      <c r="L10" s="135"/>
      <c r="M10" s="135"/>
      <c r="N10" s="735"/>
      <c r="O10" s="738"/>
      <c r="P10" s="129"/>
      <c r="Q10" s="129"/>
      <c r="R10" s="129"/>
      <c r="S10" s="129"/>
      <c r="T10" s="129"/>
      <c r="U10" s="129"/>
    </row>
    <row r="11" spans="1:21" ht="13.8">
      <c r="A11" s="737"/>
      <c r="B11" s="737"/>
      <c r="C11" s="737"/>
      <c r="D11" s="741"/>
      <c r="E11" s="741"/>
      <c r="F11" s="744"/>
      <c r="G11" s="737"/>
      <c r="H11" s="135">
        <v>3</v>
      </c>
      <c r="I11" s="663">
        <v>43907</v>
      </c>
      <c r="J11" s="664">
        <v>0.94930555555555562</v>
      </c>
      <c r="K11" s="663">
        <v>43908</v>
      </c>
      <c r="L11" s="664">
        <v>0.45208333333333334</v>
      </c>
      <c r="M11" s="135" t="s">
        <v>1270</v>
      </c>
      <c r="N11" s="736"/>
      <c r="O11" s="738"/>
      <c r="P11" s="129"/>
      <c r="Q11" s="129"/>
      <c r="R11" s="129"/>
      <c r="S11" s="129"/>
      <c r="T11" s="129"/>
      <c r="U11" s="129"/>
    </row>
    <row r="12" spans="1:21" ht="13.8">
      <c r="A12" s="737" t="s">
        <v>156</v>
      </c>
      <c r="B12" s="737" t="s">
        <v>157</v>
      </c>
      <c r="C12" s="737" t="s">
        <v>143</v>
      </c>
      <c r="D12" s="739">
        <f>E9+1</f>
        <v>43901</v>
      </c>
      <c r="E12" s="739">
        <f>D12+G12</f>
        <v>43902</v>
      </c>
      <c r="F12" s="742">
        <f>NETWORKDAYS(D12,E12,$A$48:$A$56)</f>
        <v>2</v>
      </c>
      <c r="G12" s="737">
        <v>1</v>
      </c>
      <c r="H12" s="135">
        <v>1</v>
      </c>
      <c r="I12" s="663">
        <v>43907</v>
      </c>
      <c r="J12" s="664">
        <v>0.72222222222222221</v>
      </c>
      <c r="K12" s="135"/>
      <c r="L12" s="135"/>
      <c r="M12" s="135"/>
      <c r="N12" s="734">
        <v>9991952</v>
      </c>
      <c r="O12" s="737" t="s">
        <v>142</v>
      </c>
      <c r="P12" s="129"/>
      <c r="Q12" s="129"/>
      <c r="R12" s="129"/>
      <c r="S12" s="129"/>
      <c r="T12" s="129"/>
      <c r="U12" s="129"/>
    </row>
    <row r="13" spans="1:21" ht="12.75" customHeight="1">
      <c r="A13" s="738"/>
      <c r="B13" s="738"/>
      <c r="C13" s="737"/>
      <c r="D13" s="740"/>
      <c r="E13" s="740"/>
      <c r="F13" s="743"/>
      <c r="G13" s="738"/>
      <c r="H13" s="135">
        <v>2</v>
      </c>
      <c r="I13" s="663">
        <v>43909</v>
      </c>
      <c r="J13" s="664">
        <v>0.5444444444444444</v>
      </c>
      <c r="K13" s="135"/>
      <c r="L13" s="135"/>
      <c r="M13" s="135"/>
      <c r="N13" s="735"/>
      <c r="O13" s="738"/>
      <c r="P13" s="129"/>
      <c r="Q13" s="129"/>
      <c r="R13" s="129"/>
      <c r="S13" s="129"/>
      <c r="T13" s="129"/>
      <c r="U13" s="129"/>
    </row>
    <row r="14" spans="1:21" ht="12.75" customHeight="1">
      <c r="A14" s="738"/>
      <c r="B14" s="738"/>
      <c r="C14" s="737"/>
      <c r="D14" s="741"/>
      <c r="E14" s="741"/>
      <c r="F14" s="744"/>
      <c r="G14" s="738"/>
      <c r="H14" s="135">
        <v>3</v>
      </c>
      <c r="I14" s="663">
        <v>43910</v>
      </c>
      <c r="J14" s="664">
        <v>0.67986111111111114</v>
      </c>
      <c r="K14" s="663">
        <v>43910</v>
      </c>
      <c r="L14" s="664">
        <v>0.9375</v>
      </c>
      <c r="M14" s="135" t="s">
        <v>1291</v>
      </c>
      <c r="N14" s="736"/>
      <c r="O14" s="738"/>
      <c r="P14" s="129"/>
      <c r="Q14" s="129"/>
      <c r="R14" s="129"/>
      <c r="S14" s="129"/>
      <c r="T14" s="129"/>
      <c r="U14" s="129"/>
    </row>
    <row r="15" spans="1:21" ht="13.8">
      <c r="A15" s="737" t="s">
        <v>158</v>
      </c>
      <c r="B15" s="737" t="s">
        <v>159</v>
      </c>
      <c r="C15" s="737" t="s">
        <v>143</v>
      </c>
      <c r="D15" s="739">
        <f>E12+1</f>
        <v>43903</v>
      </c>
      <c r="E15" s="739">
        <f>D15+G15</f>
        <v>43906</v>
      </c>
      <c r="F15" s="742">
        <f>NETWORKDAYS(D15,E15,$A$48:$A$56)</f>
        <v>2</v>
      </c>
      <c r="G15" s="737">
        <v>3</v>
      </c>
      <c r="H15" s="135">
        <v>1</v>
      </c>
      <c r="I15" s="663">
        <v>43913</v>
      </c>
      <c r="J15" s="664">
        <v>0.73611111111111116</v>
      </c>
      <c r="K15" s="135"/>
      <c r="L15" s="135"/>
      <c r="M15" s="135"/>
      <c r="N15" s="734">
        <v>9999052</v>
      </c>
      <c r="O15" s="737" t="s">
        <v>142</v>
      </c>
      <c r="P15" s="129"/>
      <c r="Q15" s="129"/>
      <c r="R15" s="129"/>
      <c r="S15" s="129"/>
      <c r="T15" s="129"/>
      <c r="U15" s="129"/>
    </row>
    <row r="16" spans="1:21" ht="12.75" customHeight="1">
      <c r="A16" s="738"/>
      <c r="B16" s="738"/>
      <c r="C16" s="737"/>
      <c r="D16" s="740"/>
      <c r="E16" s="740"/>
      <c r="F16" s="743"/>
      <c r="G16" s="738"/>
      <c r="H16" s="135">
        <v>2</v>
      </c>
      <c r="I16" s="663">
        <v>43914</v>
      </c>
      <c r="J16" s="664">
        <v>0.79166666666666663</v>
      </c>
      <c r="K16" s="663">
        <v>43915</v>
      </c>
      <c r="L16" s="664">
        <v>2.361111111111111E-2</v>
      </c>
      <c r="M16" s="135" t="s">
        <v>1305</v>
      </c>
      <c r="N16" s="735"/>
      <c r="O16" s="738"/>
      <c r="P16" s="129"/>
      <c r="Q16" s="129"/>
      <c r="R16" s="129"/>
      <c r="S16" s="129"/>
      <c r="T16" s="129"/>
      <c r="U16" s="129"/>
    </row>
    <row r="17" spans="1:15" ht="12.75" customHeight="1">
      <c r="A17" s="738"/>
      <c r="B17" s="738"/>
      <c r="C17" s="737"/>
      <c r="D17" s="741"/>
      <c r="E17" s="741"/>
      <c r="F17" s="744"/>
      <c r="G17" s="738"/>
      <c r="H17" s="135">
        <v>3</v>
      </c>
      <c r="I17" s="135"/>
      <c r="J17" s="135"/>
      <c r="K17" s="135"/>
      <c r="L17" s="135"/>
      <c r="M17" s="135"/>
      <c r="N17" s="736"/>
      <c r="O17" s="738"/>
    </row>
    <row r="18" spans="1:15" ht="13.8">
      <c r="A18" s="737" t="s">
        <v>160</v>
      </c>
      <c r="B18" s="737" t="s">
        <v>161</v>
      </c>
      <c r="C18" s="737" t="s">
        <v>143</v>
      </c>
      <c r="D18" s="739">
        <f>E15+1</f>
        <v>43907</v>
      </c>
      <c r="E18" s="739">
        <f>D18+G18</f>
        <v>43909</v>
      </c>
      <c r="F18" s="742">
        <f>NETWORKDAYS(D18,E18,$A$48:$A$56)</f>
        <v>3</v>
      </c>
      <c r="G18" s="737">
        <v>2</v>
      </c>
      <c r="H18" s="135">
        <v>1</v>
      </c>
      <c r="I18" s="663">
        <v>43916</v>
      </c>
      <c r="J18" s="664">
        <v>0.65416666666666667</v>
      </c>
      <c r="K18" s="135"/>
      <c r="L18" s="135"/>
      <c r="M18" s="135"/>
      <c r="N18" s="734">
        <v>10005742</v>
      </c>
      <c r="O18" s="737" t="s">
        <v>142</v>
      </c>
    </row>
    <row r="19" spans="1:15" ht="12.75" customHeight="1">
      <c r="A19" s="738"/>
      <c r="B19" s="738"/>
      <c r="C19" s="737"/>
      <c r="D19" s="740"/>
      <c r="E19" s="740"/>
      <c r="F19" s="743"/>
      <c r="G19" s="738"/>
      <c r="H19" s="135">
        <v>2</v>
      </c>
      <c r="I19" s="135"/>
      <c r="J19" s="135"/>
      <c r="K19" s="135"/>
      <c r="L19" s="135"/>
      <c r="M19" s="135"/>
      <c r="N19" s="735"/>
      <c r="O19" s="738"/>
    </row>
    <row r="20" spans="1:15" ht="12.75" customHeight="1">
      <c r="A20" s="738"/>
      <c r="B20" s="738"/>
      <c r="C20" s="737"/>
      <c r="D20" s="741"/>
      <c r="E20" s="741"/>
      <c r="F20" s="744"/>
      <c r="G20" s="738"/>
      <c r="H20" s="135">
        <v>3</v>
      </c>
      <c r="I20" s="135"/>
      <c r="J20" s="135"/>
      <c r="K20" s="135"/>
      <c r="L20" s="135"/>
      <c r="M20" s="135"/>
      <c r="N20" s="736"/>
      <c r="O20" s="738"/>
    </row>
    <row r="21" spans="1:15" ht="13.8">
      <c r="A21" s="737" t="s">
        <v>162</v>
      </c>
      <c r="B21" s="737" t="s">
        <v>163</v>
      </c>
      <c r="C21" s="737" t="s">
        <v>143</v>
      </c>
      <c r="D21" s="739">
        <f>E18+1</f>
        <v>43910</v>
      </c>
      <c r="E21" s="739">
        <f>D21+G21</f>
        <v>43914</v>
      </c>
      <c r="F21" s="742">
        <f>NETWORKDAYS(D21,E21,$A$48:$A$56)</f>
        <v>3</v>
      </c>
      <c r="G21" s="737">
        <v>4</v>
      </c>
      <c r="H21" s="135">
        <v>1</v>
      </c>
      <c r="I21" s="663">
        <v>43916</v>
      </c>
      <c r="J21" s="664">
        <v>0.65416666666666667</v>
      </c>
      <c r="K21" s="135"/>
      <c r="L21" s="135"/>
      <c r="M21" s="135"/>
      <c r="N21" s="734">
        <v>10005742</v>
      </c>
      <c r="O21" s="737" t="s">
        <v>142</v>
      </c>
    </row>
    <row r="22" spans="1:15" ht="12.75" customHeight="1">
      <c r="A22" s="738"/>
      <c r="B22" s="738"/>
      <c r="C22" s="737"/>
      <c r="D22" s="740"/>
      <c r="E22" s="740"/>
      <c r="F22" s="743"/>
      <c r="G22" s="738"/>
      <c r="H22" s="135">
        <v>2</v>
      </c>
      <c r="I22" s="663">
        <v>43917</v>
      </c>
      <c r="J22" s="664">
        <v>0.8256944444444444</v>
      </c>
      <c r="K22" s="663">
        <v>43920</v>
      </c>
      <c r="L22" s="664">
        <v>0.59930555555555554</v>
      </c>
      <c r="M22" s="135" t="s">
        <v>1390</v>
      </c>
      <c r="N22" s="735"/>
      <c r="O22" s="738"/>
    </row>
    <row r="23" spans="1:15" ht="12.75" customHeight="1">
      <c r="A23" s="738"/>
      <c r="B23" s="738"/>
      <c r="C23" s="737"/>
      <c r="D23" s="741"/>
      <c r="E23" s="741"/>
      <c r="F23" s="744"/>
      <c r="G23" s="738"/>
      <c r="H23" s="135">
        <v>3</v>
      </c>
      <c r="I23" s="135"/>
      <c r="J23" s="135"/>
      <c r="K23" s="135"/>
      <c r="L23" s="135"/>
      <c r="M23" s="135"/>
      <c r="N23" s="736"/>
      <c r="O23" s="738"/>
    </row>
    <row r="24" spans="1:15" ht="13.8">
      <c r="A24" s="737" t="s">
        <v>164</v>
      </c>
      <c r="B24" s="737" t="s">
        <v>165</v>
      </c>
      <c r="C24" s="737" t="s">
        <v>143</v>
      </c>
      <c r="D24" s="739">
        <f>E21+1</f>
        <v>43915</v>
      </c>
      <c r="E24" s="739">
        <f>D24+G24</f>
        <v>43920</v>
      </c>
      <c r="F24" s="742">
        <f>NETWORKDAYS(D24,E24,$A$48:$A$56)</f>
        <v>4</v>
      </c>
      <c r="G24" s="737">
        <v>5</v>
      </c>
      <c r="H24" s="135">
        <v>1</v>
      </c>
      <c r="I24" s="663">
        <v>43922</v>
      </c>
      <c r="J24" s="664">
        <v>0.74791666666666667</v>
      </c>
      <c r="K24" s="135"/>
      <c r="L24" s="135"/>
      <c r="M24" s="135"/>
      <c r="N24" s="734">
        <v>10018500</v>
      </c>
      <c r="O24" s="737" t="s">
        <v>142</v>
      </c>
    </row>
    <row r="25" spans="1:15" ht="12.75" customHeight="1">
      <c r="A25" s="738"/>
      <c r="B25" s="738"/>
      <c r="C25" s="737"/>
      <c r="D25" s="740"/>
      <c r="E25" s="740"/>
      <c r="F25" s="743"/>
      <c r="G25" s="738"/>
      <c r="H25" s="135">
        <v>2</v>
      </c>
      <c r="I25" s="663">
        <v>43924</v>
      </c>
      <c r="J25" s="664">
        <v>0.64166666666666672</v>
      </c>
      <c r="K25" s="663">
        <v>43924</v>
      </c>
      <c r="L25" s="664">
        <v>0.91319444444444453</v>
      </c>
      <c r="M25" s="135"/>
      <c r="N25" s="735"/>
      <c r="O25" s="738"/>
    </row>
    <row r="26" spans="1:15" ht="12.75" customHeight="1">
      <c r="A26" s="738"/>
      <c r="B26" s="738"/>
      <c r="C26" s="737"/>
      <c r="D26" s="741"/>
      <c r="E26" s="741"/>
      <c r="F26" s="744"/>
      <c r="G26" s="738"/>
      <c r="H26" s="135">
        <v>3</v>
      </c>
      <c r="I26" s="135"/>
      <c r="J26" s="135"/>
      <c r="K26" s="135"/>
      <c r="L26" s="135"/>
      <c r="M26" s="135"/>
      <c r="N26" s="736"/>
      <c r="O26" s="738"/>
    </row>
    <row r="27" spans="1:15" ht="13.8">
      <c r="A27" s="737" t="s">
        <v>166</v>
      </c>
      <c r="B27" s="737" t="s">
        <v>167</v>
      </c>
      <c r="C27" s="737" t="s">
        <v>143</v>
      </c>
      <c r="D27" s="739">
        <f>E24+1</f>
        <v>43921</v>
      </c>
      <c r="E27" s="739">
        <f>D27+G27</f>
        <v>43924</v>
      </c>
      <c r="F27" s="742">
        <f>NETWORKDAYS(D27,E27,$A$48:$A$56)</f>
        <v>4</v>
      </c>
      <c r="G27" s="737">
        <v>3</v>
      </c>
      <c r="H27" s="135">
        <v>1</v>
      </c>
      <c r="I27" s="663">
        <v>43928</v>
      </c>
      <c r="J27" s="664">
        <v>0.48749999999999999</v>
      </c>
      <c r="K27" s="663">
        <v>43929</v>
      </c>
      <c r="L27" s="664">
        <v>0.58472222222222225</v>
      </c>
      <c r="M27" s="135"/>
      <c r="N27" s="734">
        <v>10029159</v>
      </c>
      <c r="O27" s="737" t="s">
        <v>142</v>
      </c>
    </row>
    <row r="28" spans="1:15" ht="12.75" customHeight="1">
      <c r="A28" s="738"/>
      <c r="B28" s="738"/>
      <c r="C28" s="737"/>
      <c r="D28" s="740"/>
      <c r="E28" s="740"/>
      <c r="F28" s="743"/>
      <c r="G28" s="738"/>
      <c r="H28" s="135">
        <v>2</v>
      </c>
      <c r="I28" s="135"/>
      <c r="J28" s="135"/>
      <c r="K28" s="135"/>
      <c r="L28" s="135"/>
      <c r="M28" s="135"/>
      <c r="N28" s="735"/>
      <c r="O28" s="738"/>
    </row>
    <row r="29" spans="1:15" ht="12.75" customHeight="1">
      <c r="A29" s="738"/>
      <c r="B29" s="738"/>
      <c r="C29" s="737"/>
      <c r="D29" s="741"/>
      <c r="E29" s="741"/>
      <c r="F29" s="744"/>
      <c r="G29" s="738"/>
      <c r="H29" s="135">
        <v>3</v>
      </c>
      <c r="I29" s="135"/>
      <c r="J29" s="135"/>
      <c r="K29" s="135"/>
      <c r="L29" s="135"/>
      <c r="M29" s="135"/>
      <c r="N29" s="736"/>
      <c r="O29" s="738"/>
    </row>
    <row r="30" spans="1:15" ht="13.8">
      <c r="A30" s="737" t="s">
        <v>168</v>
      </c>
      <c r="B30" s="737" t="s">
        <v>169</v>
      </c>
      <c r="C30" s="737" t="s">
        <v>143</v>
      </c>
      <c r="D30" s="739">
        <f>E27+3</f>
        <v>43927</v>
      </c>
      <c r="E30" s="739">
        <f>D30+G30</f>
        <v>43927</v>
      </c>
      <c r="F30" s="742">
        <f>NETWORKDAYS(D30,E30,$A$48:$A$56)</f>
        <v>1</v>
      </c>
      <c r="G30" s="737">
        <v>0</v>
      </c>
      <c r="H30" s="135">
        <v>1</v>
      </c>
      <c r="I30" s="663">
        <v>43929</v>
      </c>
      <c r="J30" s="664">
        <v>0.75486111111111109</v>
      </c>
      <c r="K30" s="135"/>
      <c r="L30" s="135"/>
      <c r="M30" s="135"/>
      <c r="N30" s="734">
        <v>10032495</v>
      </c>
      <c r="O30" s="737" t="s">
        <v>142</v>
      </c>
    </row>
    <row r="31" spans="1:15" ht="12.75" customHeight="1">
      <c r="A31" s="738"/>
      <c r="B31" s="738"/>
      <c r="C31" s="737"/>
      <c r="D31" s="740"/>
      <c r="E31" s="740"/>
      <c r="F31" s="743"/>
      <c r="G31" s="738"/>
      <c r="H31" s="135">
        <v>2</v>
      </c>
      <c r="I31" s="663">
        <v>43930</v>
      </c>
      <c r="J31" s="664">
        <v>0.69861111111111107</v>
      </c>
      <c r="K31" s="663">
        <v>43930</v>
      </c>
      <c r="L31" s="664">
        <v>0.77083333333333337</v>
      </c>
      <c r="M31" s="135"/>
      <c r="N31" s="735"/>
      <c r="O31" s="738"/>
    </row>
    <row r="32" spans="1:15" ht="12.75" customHeight="1">
      <c r="A32" s="738"/>
      <c r="B32" s="738"/>
      <c r="C32" s="737"/>
      <c r="D32" s="741"/>
      <c r="E32" s="741"/>
      <c r="F32" s="744"/>
      <c r="G32" s="738"/>
      <c r="H32" s="135">
        <v>3</v>
      </c>
      <c r="I32" s="135"/>
      <c r="J32" s="135"/>
      <c r="K32" s="135"/>
      <c r="L32" s="135"/>
      <c r="M32" s="135"/>
      <c r="N32" s="736"/>
      <c r="O32" s="738"/>
    </row>
    <row r="33" spans="1:16" ht="13.8">
      <c r="A33" s="737" t="s">
        <v>170</v>
      </c>
      <c r="B33" s="737" t="s">
        <v>171</v>
      </c>
      <c r="C33" s="737" t="s">
        <v>141</v>
      </c>
      <c r="D33" s="739">
        <f>E30+1</f>
        <v>43928</v>
      </c>
      <c r="E33" s="739">
        <f>D33+G33</f>
        <v>43931</v>
      </c>
      <c r="F33" s="742">
        <f>NETWORKDAYS(D33,E33,$A$48:$A$56)</f>
        <v>4</v>
      </c>
      <c r="G33" s="737">
        <v>3</v>
      </c>
      <c r="H33" s="135">
        <v>1</v>
      </c>
      <c r="I33" s="663">
        <v>43938</v>
      </c>
      <c r="J33" s="135"/>
      <c r="K33" s="135"/>
      <c r="L33" s="135"/>
      <c r="M33" s="135"/>
      <c r="N33" s="734">
        <v>10048324</v>
      </c>
      <c r="O33" s="737" t="s">
        <v>140</v>
      </c>
      <c r="P33" s="131"/>
    </row>
    <row r="34" spans="1:16" ht="12.75" customHeight="1">
      <c r="A34" s="738"/>
      <c r="B34" s="738"/>
      <c r="C34" s="737"/>
      <c r="D34" s="740"/>
      <c r="E34" s="740"/>
      <c r="F34" s="743"/>
      <c r="G34" s="738"/>
      <c r="H34" s="135">
        <v>2</v>
      </c>
      <c r="I34" s="135"/>
      <c r="J34" s="135"/>
      <c r="K34" s="135"/>
      <c r="L34" s="135"/>
      <c r="M34" s="135"/>
      <c r="N34" s="735"/>
      <c r="O34" s="738"/>
      <c r="P34" s="131"/>
    </row>
    <row r="35" spans="1:16" ht="12.75" customHeight="1">
      <c r="A35" s="738"/>
      <c r="B35" s="738"/>
      <c r="C35" s="737"/>
      <c r="D35" s="741"/>
      <c r="E35" s="741"/>
      <c r="F35" s="744"/>
      <c r="G35" s="738"/>
      <c r="H35" s="135">
        <v>3</v>
      </c>
      <c r="I35" s="135"/>
      <c r="J35" s="135"/>
      <c r="K35" s="135"/>
      <c r="L35" s="135"/>
      <c r="M35" s="135"/>
      <c r="N35" s="736"/>
      <c r="O35" s="738"/>
      <c r="P35" s="131"/>
    </row>
    <row r="36" spans="1:16" ht="13.8">
      <c r="A36" s="737" t="s">
        <v>172</v>
      </c>
      <c r="B36" s="737" t="s">
        <v>173</v>
      </c>
      <c r="C36" s="737" t="s">
        <v>139</v>
      </c>
      <c r="D36" s="739">
        <f>E33+3</f>
        <v>43934</v>
      </c>
      <c r="E36" s="739">
        <f>D36+G36</f>
        <v>43935</v>
      </c>
      <c r="F36" s="742">
        <f>NETWORKDAYS(D36,E36,$A$48:$A$56)</f>
        <v>2</v>
      </c>
      <c r="G36" s="737">
        <v>1</v>
      </c>
      <c r="H36" s="135">
        <v>1</v>
      </c>
      <c r="I36" s="135"/>
      <c r="J36" s="135"/>
      <c r="K36" s="135"/>
      <c r="L36" s="135"/>
      <c r="M36" s="135"/>
      <c r="N36" s="734"/>
      <c r="O36" s="737"/>
      <c r="P36" s="131"/>
    </row>
    <row r="37" spans="1:16" ht="12.75" customHeight="1">
      <c r="A37" s="738"/>
      <c r="B37" s="738"/>
      <c r="C37" s="737"/>
      <c r="D37" s="740"/>
      <c r="E37" s="740"/>
      <c r="F37" s="743"/>
      <c r="G37" s="738"/>
      <c r="H37" s="135">
        <v>2</v>
      </c>
      <c r="I37" s="135"/>
      <c r="J37" s="135"/>
      <c r="K37" s="135"/>
      <c r="L37" s="135"/>
      <c r="M37" s="135"/>
      <c r="N37" s="735"/>
      <c r="O37" s="738"/>
      <c r="P37" s="131"/>
    </row>
    <row r="38" spans="1:16" ht="12.75" customHeight="1">
      <c r="A38" s="738"/>
      <c r="B38" s="738"/>
      <c r="C38" s="737"/>
      <c r="D38" s="741"/>
      <c r="E38" s="741"/>
      <c r="F38" s="744"/>
      <c r="G38" s="738"/>
      <c r="H38" s="135">
        <v>3</v>
      </c>
      <c r="I38" s="135"/>
      <c r="J38" s="135"/>
      <c r="K38" s="135"/>
      <c r="L38" s="135"/>
      <c r="M38" s="135"/>
      <c r="N38" s="736"/>
      <c r="O38" s="738"/>
      <c r="P38" s="131"/>
    </row>
    <row r="39" spans="1:16" ht="13.8">
      <c r="A39" s="737" t="s">
        <v>174</v>
      </c>
      <c r="B39" s="737" t="s">
        <v>175</v>
      </c>
      <c r="C39" s="737" t="s">
        <v>139</v>
      </c>
      <c r="D39" s="739">
        <f>E36+1</f>
        <v>43936</v>
      </c>
      <c r="E39" s="739">
        <f>D39+G39</f>
        <v>43938</v>
      </c>
      <c r="F39" s="742">
        <f>NETWORKDAYS(D39,E39,$A$48:$A$56)</f>
        <v>3</v>
      </c>
      <c r="G39" s="737">
        <v>2</v>
      </c>
      <c r="H39" s="135">
        <v>1</v>
      </c>
      <c r="I39" s="135"/>
      <c r="J39" s="135"/>
      <c r="K39" s="135"/>
      <c r="L39" s="135"/>
      <c r="M39" s="135"/>
      <c r="N39" s="734"/>
      <c r="O39" s="737"/>
      <c r="P39" s="131"/>
    </row>
    <row r="40" spans="1:16" ht="12.75" customHeight="1">
      <c r="A40" s="738"/>
      <c r="B40" s="738"/>
      <c r="C40" s="737"/>
      <c r="D40" s="740"/>
      <c r="E40" s="740"/>
      <c r="F40" s="743"/>
      <c r="G40" s="738"/>
      <c r="H40" s="135">
        <v>2</v>
      </c>
      <c r="I40" s="135"/>
      <c r="J40" s="135"/>
      <c r="K40" s="135"/>
      <c r="L40" s="135"/>
      <c r="M40" s="135"/>
      <c r="N40" s="735"/>
      <c r="O40" s="738"/>
      <c r="P40" s="131"/>
    </row>
    <row r="41" spans="1:16" ht="12.75" customHeight="1">
      <c r="A41" s="738"/>
      <c r="B41" s="738"/>
      <c r="C41" s="737"/>
      <c r="D41" s="741"/>
      <c r="E41" s="741"/>
      <c r="F41" s="744"/>
      <c r="G41" s="738"/>
      <c r="H41" s="135">
        <v>3</v>
      </c>
      <c r="I41" s="135"/>
      <c r="J41" s="135"/>
      <c r="K41" s="135"/>
      <c r="L41" s="135"/>
      <c r="M41" s="135"/>
      <c r="N41" s="736"/>
      <c r="O41" s="738"/>
      <c r="P41" s="131"/>
    </row>
    <row r="42" spans="1:16" ht="13.8">
      <c r="A42" s="737" t="s">
        <v>176</v>
      </c>
      <c r="B42" s="737" t="s">
        <v>177</v>
      </c>
      <c r="C42" s="737" t="s">
        <v>139</v>
      </c>
      <c r="D42" s="739">
        <f>E39+3</f>
        <v>43941</v>
      </c>
      <c r="E42" s="739">
        <f>D42+G42</f>
        <v>43943</v>
      </c>
      <c r="F42" s="742">
        <f>NETWORKDAYS(D42,E42,$A$48:$A$56)</f>
        <v>3</v>
      </c>
      <c r="G42" s="737">
        <v>2</v>
      </c>
      <c r="H42" s="135">
        <v>1</v>
      </c>
      <c r="I42" s="135"/>
      <c r="J42" s="135"/>
      <c r="K42" s="135"/>
      <c r="L42" s="135"/>
      <c r="M42" s="135"/>
      <c r="N42" s="734"/>
      <c r="O42" s="737"/>
      <c r="P42" s="131"/>
    </row>
    <row r="43" spans="1:16" ht="12.75" customHeight="1">
      <c r="A43" s="738"/>
      <c r="B43" s="738"/>
      <c r="C43" s="737"/>
      <c r="D43" s="740"/>
      <c r="E43" s="740"/>
      <c r="F43" s="743"/>
      <c r="G43" s="738"/>
      <c r="H43" s="135">
        <v>2</v>
      </c>
      <c r="I43" s="135"/>
      <c r="J43" s="135"/>
      <c r="K43" s="135"/>
      <c r="L43" s="135"/>
      <c r="M43" s="135"/>
      <c r="N43" s="735"/>
      <c r="O43" s="738"/>
      <c r="P43" s="131"/>
    </row>
    <row r="44" spans="1:16" ht="12.75" customHeight="1">
      <c r="A44" s="738"/>
      <c r="B44" s="738"/>
      <c r="C44" s="737"/>
      <c r="D44" s="741"/>
      <c r="E44" s="741"/>
      <c r="F44" s="744"/>
      <c r="G44" s="738"/>
      <c r="H44" s="135">
        <v>3</v>
      </c>
      <c r="I44" s="135"/>
      <c r="J44" s="135"/>
      <c r="K44" s="135"/>
      <c r="L44" s="135"/>
      <c r="M44" s="135"/>
      <c r="N44" s="736"/>
      <c r="O44" s="738"/>
      <c r="P44" s="131"/>
    </row>
    <row r="45" spans="1:16" ht="13.8">
      <c r="A45" s="737" t="s">
        <v>890</v>
      </c>
      <c r="B45" s="737" t="s">
        <v>891</v>
      </c>
      <c r="C45" s="737" t="s">
        <v>139</v>
      </c>
      <c r="D45" s="739">
        <f>E42+1</f>
        <v>43944</v>
      </c>
      <c r="E45" s="739">
        <v>43948</v>
      </c>
      <c r="F45" s="742">
        <f>NETWORKDAYS(D45,E45)</f>
        <v>3</v>
      </c>
      <c r="G45" s="737"/>
      <c r="H45" s="135">
        <v>1</v>
      </c>
      <c r="I45" s="135"/>
      <c r="J45" s="135"/>
      <c r="K45" s="135"/>
      <c r="L45" s="135"/>
      <c r="M45" s="135"/>
      <c r="N45" s="734"/>
      <c r="O45" s="737"/>
      <c r="P45" s="131"/>
    </row>
    <row r="46" spans="1:16" ht="12.75" customHeight="1">
      <c r="A46" s="738"/>
      <c r="B46" s="738"/>
      <c r="C46" s="737"/>
      <c r="D46" s="740"/>
      <c r="E46" s="740"/>
      <c r="F46" s="743"/>
      <c r="G46" s="738"/>
      <c r="H46" s="135">
        <v>2</v>
      </c>
      <c r="I46" s="135"/>
      <c r="J46" s="135"/>
      <c r="K46" s="135"/>
      <c r="L46" s="135"/>
      <c r="M46" s="135"/>
      <c r="N46" s="735"/>
      <c r="O46" s="738"/>
      <c r="P46" s="131"/>
    </row>
    <row r="47" spans="1:16" ht="12.75" customHeight="1">
      <c r="A47" s="738"/>
      <c r="B47" s="738"/>
      <c r="C47" s="737"/>
      <c r="D47" s="741"/>
      <c r="E47" s="741"/>
      <c r="F47" s="744"/>
      <c r="G47" s="738"/>
      <c r="H47" s="135">
        <v>3</v>
      </c>
      <c r="I47" s="135"/>
      <c r="J47" s="135"/>
      <c r="K47" s="135"/>
      <c r="L47" s="135"/>
      <c r="M47" s="135"/>
      <c r="N47" s="736"/>
      <c r="O47" s="738"/>
      <c r="P47" s="131"/>
    </row>
    <row r="48" spans="1:16">
      <c r="A48" s="569">
        <v>43824</v>
      </c>
    </row>
    <row r="49" spans="1:1">
      <c r="A49" s="577">
        <v>43831</v>
      </c>
    </row>
    <row r="50" spans="1:1">
      <c r="A50" s="569">
        <v>43854</v>
      </c>
    </row>
    <row r="51" spans="1:1">
      <c r="A51" s="569">
        <v>43855</v>
      </c>
    </row>
    <row r="52" spans="1:1">
      <c r="A52" s="569">
        <v>43856</v>
      </c>
    </row>
    <row r="53" spans="1:1">
      <c r="A53" s="569">
        <v>43857</v>
      </c>
    </row>
    <row r="54" spans="1:1">
      <c r="A54" s="569">
        <v>43858</v>
      </c>
    </row>
    <row r="55" spans="1:1">
      <c r="A55" s="569">
        <v>43859</v>
      </c>
    </row>
    <row r="56" spans="1:1">
      <c r="A56" s="569">
        <v>43860</v>
      </c>
    </row>
  </sheetData>
  <mergeCells count="123">
    <mergeCell ref="N45:N47"/>
    <mergeCell ref="O45:O47"/>
    <mergeCell ref="A45:A47"/>
    <mergeCell ref="B45:B47"/>
    <mergeCell ref="D45:D47"/>
    <mergeCell ref="E45:E47"/>
    <mergeCell ref="G45:G47"/>
    <mergeCell ref="N39:N41"/>
    <mergeCell ref="O39:O41"/>
    <mergeCell ref="A42:A44"/>
    <mergeCell ref="B42:B44"/>
    <mergeCell ref="D42:D44"/>
    <mergeCell ref="E42:E44"/>
    <mergeCell ref="G42:G44"/>
    <mergeCell ref="N42:N44"/>
    <mergeCell ref="O42:O44"/>
    <mergeCell ref="A39:A41"/>
    <mergeCell ref="B39:B41"/>
    <mergeCell ref="D39:D41"/>
    <mergeCell ref="E39:E41"/>
    <mergeCell ref="G39:G41"/>
    <mergeCell ref="C45:C47"/>
    <mergeCell ref="C42:C44"/>
    <mergeCell ref="C39:C41"/>
    <mergeCell ref="B36:B38"/>
    <mergeCell ref="D36:D38"/>
    <mergeCell ref="E36:E38"/>
    <mergeCell ref="G36:G38"/>
    <mergeCell ref="N36:N38"/>
    <mergeCell ref="O36:O38"/>
    <mergeCell ref="A33:A35"/>
    <mergeCell ref="B33:B35"/>
    <mergeCell ref="D33:D35"/>
    <mergeCell ref="E33:E35"/>
    <mergeCell ref="G33:G35"/>
    <mergeCell ref="C36:C38"/>
    <mergeCell ref="C33:C35"/>
    <mergeCell ref="F33:F35"/>
    <mergeCell ref="F36:F38"/>
    <mergeCell ref="F39:F41"/>
    <mergeCell ref="F42:F44"/>
    <mergeCell ref="F45:F47"/>
    <mergeCell ref="N27:N29"/>
    <mergeCell ref="O27:O29"/>
    <mergeCell ref="A30:A32"/>
    <mergeCell ref="B30:B32"/>
    <mergeCell ref="D30:D32"/>
    <mergeCell ref="E30:E32"/>
    <mergeCell ref="G30:G32"/>
    <mergeCell ref="N30:N32"/>
    <mergeCell ref="O30:O32"/>
    <mergeCell ref="A27:A29"/>
    <mergeCell ref="B27:B29"/>
    <mergeCell ref="D27:D29"/>
    <mergeCell ref="E27:E29"/>
    <mergeCell ref="G27:G29"/>
    <mergeCell ref="C30:C32"/>
    <mergeCell ref="C27:C29"/>
    <mergeCell ref="F27:F29"/>
    <mergeCell ref="F30:F32"/>
    <mergeCell ref="N33:N35"/>
    <mergeCell ref="O33:O35"/>
    <mergeCell ref="A36:A38"/>
    <mergeCell ref="N21:N23"/>
    <mergeCell ref="O21:O23"/>
    <mergeCell ref="A24:A26"/>
    <mergeCell ref="B24:B26"/>
    <mergeCell ref="D24:D26"/>
    <mergeCell ref="E24:E26"/>
    <mergeCell ref="G24:G26"/>
    <mergeCell ref="N24:N26"/>
    <mergeCell ref="O24:O26"/>
    <mergeCell ref="A21:A23"/>
    <mergeCell ref="B21:B23"/>
    <mergeCell ref="D21:D23"/>
    <mergeCell ref="E21:E23"/>
    <mergeCell ref="G21:G23"/>
    <mergeCell ref="C21:C23"/>
    <mergeCell ref="C24:C26"/>
    <mergeCell ref="F21:F23"/>
    <mergeCell ref="F24:F26"/>
    <mergeCell ref="N15:N17"/>
    <mergeCell ref="O15:O17"/>
    <mergeCell ref="A18:A20"/>
    <mergeCell ref="B18:B20"/>
    <mergeCell ref="D18:D20"/>
    <mergeCell ref="E18:E20"/>
    <mergeCell ref="G18:G20"/>
    <mergeCell ref="N18:N20"/>
    <mergeCell ref="O18:O20"/>
    <mergeCell ref="A15:A17"/>
    <mergeCell ref="B15:B17"/>
    <mergeCell ref="D15:D17"/>
    <mergeCell ref="E15:E17"/>
    <mergeCell ref="G15:G17"/>
    <mergeCell ref="C18:C20"/>
    <mergeCell ref="C15:C17"/>
    <mergeCell ref="F15:F17"/>
    <mergeCell ref="F18:F20"/>
    <mergeCell ref="A5:B7"/>
    <mergeCell ref="D5:G7"/>
    <mergeCell ref="H5:M7"/>
    <mergeCell ref="N5:N7"/>
    <mergeCell ref="O5:O7"/>
    <mergeCell ref="N9:N11"/>
    <mergeCell ref="O9:O11"/>
    <mergeCell ref="A12:A14"/>
    <mergeCell ref="B12:B14"/>
    <mergeCell ref="D12:D14"/>
    <mergeCell ref="E12:E14"/>
    <mergeCell ref="G12:G14"/>
    <mergeCell ref="N12:N14"/>
    <mergeCell ref="O12:O14"/>
    <mergeCell ref="A9:A11"/>
    <mergeCell ref="B9:B11"/>
    <mergeCell ref="D9:D11"/>
    <mergeCell ref="E9:E11"/>
    <mergeCell ref="G9:G11"/>
    <mergeCell ref="C5:C7"/>
    <mergeCell ref="C12:C14"/>
    <mergeCell ref="C9:C11"/>
    <mergeCell ref="F9:F11"/>
    <mergeCell ref="F12:F14"/>
  </mergeCells>
  <phoneticPr fontId="104" type="noConversion"/>
  <dataValidations count="2">
    <dataValidation type="list" allowBlank="1" showInputMessage="1" showErrorMessage="1" sqref="C9:C47" xr:uid="{00000000-0002-0000-0100-000000000000}">
      <formula1>cyclestatus</formula1>
    </dataValidation>
    <dataValidation type="list" allowBlank="1" showInputMessage="1" showErrorMessage="1" sqref="O9:O47" xr:uid="{00000000-0002-0000-0100-000001000000}">
      <formula1>crmstatus</formula1>
    </dataValidation>
  </dataValidations>
  <pageMargins left="0.7" right="0.7" top="0.75" bottom="0.75" header="0.3" footer="0.3"/>
  <pageSetup paperSize="9" orientation="portrait" r:id="rId1"/>
  <drawing r:id="rId2"/>
  <legacyDrawing r:id="rId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F145"/>
  <sheetViews>
    <sheetView workbookViewId="0">
      <pane xSplit="1" ySplit="9" topLeftCell="B12" activePane="bottomRight" state="frozen"/>
      <selection pane="topRight" activeCell="B1" sqref="B1"/>
      <selection pane="bottomLeft" activeCell="A10" sqref="A10"/>
      <selection pane="bottomRight" activeCell="A4" sqref="A4:A5"/>
    </sheetView>
  </sheetViews>
  <sheetFormatPr defaultRowHeight="13.8"/>
  <cols>
    <col min="1" max="1" width="31" style="5" bestFit="1" customWidth="1"/>
    <col min="2" max="5" width="10.77734375" style="5" customWidth="1"/>
    <col min="6" max="8" width="10.77734375" customWidth="1"/>
    <col min="9" max="9" width="11.6640625" bestFit="1" customWidth="1"/>
    <col min="10" max="15" width="10.77734375" customWidth="1"/>
    <col min="16" max="16" width="12.6640625" bestFit="1" customWidth="1"/>
    <col min="17" max="18" width="12.77734375" customWidth="1"/>
    <col min="19" max="21" width="10.77734375" customWidth="1"/>
    <col min="22" max="26" width="9.33203125" style="5" customWidth="1"/>
    <col min="27" max="27" width="10.77734375" style="5" bestFit="1" customWidth="1"/>
    <col min="28" max="29" width="9.33203125" style="5" customWidth="1"/>
  </cols>
  <sheetData>
    <row r="1" spans="1:29" s="3" customFormat="1" ht="20.399999999999999">
      <c r="A1" s="104" t="s">
        <v>6</v>
      </c>
      <c r="B1" s="104"/>
      <c r="C1" s="104"/>
      <c r="D1" s="104"/>
      <c r="E1" s="104"/>
      <c r="F1" s="440"/>
      <c r="L1" s="8"/>
      <c r="X1" s="1"/>
      <c r="Y1" s="1"/>
      <c r="Z1" s="1"/>
      <c r="AA1" s="1"/>
      <c r="AB1" s="1"/>
      <c r="AC1" s="1"/>
    </row>
    <row r="2" spans="1:29" s="3" customFormat="1" ht="12.75" customHeight="1">
      <c r="B2" s="110"/>
      <c r="C2" s="110"/>
      <c r="D2" s="110"/>
      <c r="E2" s="109"/>
      <c r="V2" s="22"/>
      <c r="W2" s="22"/>
      <c r="X2" s="22"/>
      <c r="Y2" s="22"/>
      <c r="Z2" s="22"/>
      <c r="AA2" s="2"/>
      <c r="AC2" s="2"/>
    </row>
    <row r="3" spans="1:29" s="3" customFormat="1" ht="30">
      <c r="A3" s="106" t="s">
        <v>1134</v>
      </c>
      <c r="B3" s="110"/>
      <c r="C3" s="110"/>
      <c r="D3" s="110"/>
      <c r="E3" s="106"/>
      <c r="V3" s="22"/>
      <c r="W3" s="22"/>
      <c r="X3" s="22"/>
      <c r="Y3" s="22"/>
      <c r="Z3" s="22"/>
      <c r="AA3" s="2"/>
      <c r="AC3" s="2"/>
    </row>
    <row r="4" spans="1:29" s="110" customFormat="1">
      <c r="A4" s="110" t="s">
        <v>1265</v>
      </c>
      <c r="B4" s="361">
        <v>23205</v>
      </c>
    </row>
    <row r="5" spans="1:29" s="110" customFormat="1">
      <c r="A5" s="110" t="s">
        <v>1268</v>
      </c>
      <c r="B5" s="361">
        <v>23500</v>
      </c>
    </row>
    <row r="6" spans="1:29" s="3" customFormat="1" ht="18" customHeight="1">
      <c r="A6" s="321">
        <v>43799</v>
      </c>
      <c r="B6" s="110"/>
      <c r="C6" s="110"/>
      <c r="D6" s="110"/>
      <c r="G6" s="748" t="s">
        <v>52</v>
      </c>
      <c r="H6" s="748"/>
      <c r="I6" s="748"/>
      <c r="J6" s="748"/>
      <c r="V6" s="22"/>
      <c r="W6" s="22"/>
      <c r="X6" s="747" t="s">
        <v>65</v>
      </c>
      <c r="Y6" s="747"/>
      <c r="Z6" s="747"/>
      <c r="AA6" s="747"/>
      <c r="AB6" s="2"/>
      <c r="AC6" s="2"/>
    </row>
    <row r="7" spans="1:29" s="4" customFormat="1">
      <c r="A7" s="402"/>
      <c r="B7" s="317" t="s">
        <v>34</v>
      </c>
      <c r="C7" s="318" t="s">
        <v>35</v>
      </c>
      <c r="D7" s="318" t="s">
        <v>36</v>
      </c>
      <c r="E7" s="318" t="s">
        <v>37</v>
      </c>
      <c r="F7" s="318" t="s">
        <v>38</v>
      </c>
      <c r="G7" s="318" t="s">
        <v>39</v>
      </c>
      <c r="H7" s="318" t="s">
        <v>40</v>
      </c>
      <c r="I7" s="318" t="s">
        <v>41</v>
      </c>
      <c r="J7" s="318" t="s">
        <v>42</v>
      </c>
      <c r="K7" s="318" t="s">
        <v>43</v>
      </c>
      <c r="L7" s="318" t="s">
        <v>44</v>
      </c>
      <c r="M7" s="318" t="s">
        <v>45</v>
      </c>
      <c r="N7" s="318" t="s">
        <v>46</v>
      </c>
      <c r="O7" s="318" t="s">
        <v>47</v>
      </c>
      <c r="P7" s="758" t="s">
        <v>498</v>
      </c>
      <c r="Q7" s="343" t="s">
        <v>514</v>
      </c>
      <c r="R7" s="343" t="s">
        <v>515</v>
      </c>
      <c r="S7" s="343" t="s">
        <v>517</v>
      </c>
      <c r="T7" s="343" t="s">
        <v>519</v>
      </c>
      <c r="U7" s="343" t="s">
        <v>521</v>
      </c>
      <c r="V7" s="344"/>
      <c r="W7" s="345"/>
      <c r="X7" s="345"/>
      <c r="Y7" s="345"/>
      <c r="Z7" s="345"/>
      <c r="AA7" s="345"/>
      <c r="AB7" s="345"/>
      <c r="AC7" s="346"/>
    </row>
    <row r="8" spans="1:29" ht="15.6">
      <c r="A8" s="403"/>
      <c r="B8" s="111">
        <f>'New Hire'!C6</f>
        <v>91999901</v>
      </c>
      <c r="C8" s="333">
        <f>'New Hire'!D6</f>
        <v>91999902</v>
      </c>
      <c r="D8" s="333">
        <f>'New Hire'!E6</f>
        <v>91999903</v>
      </c>
      <c r="E8" s="333">
        <f>'New Hire'!F6</f>
        <v>91999904</v>
      </c>
      <c r="F8" s="333">
        <f>'New Hire'!G6</f>
        <v>91999905</v>
      </c>
      <c r="G8" s="333">
        <f>'New Hire'!H6</f>
        <v>91999906</v>
      </c>
      <c r="H8" s="333">
        <f>'New Hire'!I6</f>
        <v>91999907</v>
      </c>
      <c r="I8" s="333">
        <f>'New Hire'!J6</f>
        <v>91999908</v>
      </c>
      <c r="J8" s="333">
        <f>'New Hire'!K6</f>
        <v>91999909</v>
      </c>
      <c r="K8" s="333">
        <f>'New Hire'!L6</f>
        <v>91999910</v>
      </c>
      <c r="L8" s="333">
        <f>'New Hire'!M6</f>
        <v>91999911</v>
      </c>
      <c r="M8" s="333">
        <f>'New Hire'!N6</f>
        <v>91999912</v>
      </c>
      <c r="N8" s="333">
        <f>'New Hire'!O6</f>
        <v>91999913</v>
      </c>
      <c r="O8" s="333">
        <f>'New Hire'!P6</f>
        <v>91999914</v>
      </c>
      <c r="P8" s="759"/>
      <c r="Q8" s="343" t="s">
        <v>513</v>
      </c>
      <c r="R8" s="343" t="s">
        <v>516</v>
      </c>
      <c r="S8" s="343" t="s">
        <v>518</v>
      </c>
      <c r="T8" s="343" t="s">
        <v>520</v>
      </c>
      <c r="U8" s="343" t="s">
        <v>522</v>
      </c>
      <c r="V8" s="47"/>
      <c r="W8" s="48"/>
      <c r="X8" s="20"/>
      <c r="Y8" s="20"/>
      <c r="Z8" s="20"/>
      <c r="AA8" s="20"/>
      <c r="AB8" s="20"/>
      <c r="AC8" s="15"/>
    </row>
    <row r="9" spans="1:29" ht="12.75" customHeight="1">
      <c r="A9" s="404" t="s">
        <v>63</v>
      </c>
      <c r="B9" s="23"/>
      <c r="C9" s="19"/>
      <c r="D9" s="19"/>
      <c r="E9" s="20"/>
      <c r="F9" s="19"/>
      <c r="G9" s="19"/>
      <c r="H9" s="21"/>
      <c r="I9" s="19"/>
      <c r="J9" s="19"/>
      <c r="K9" s="20"/>
      <c r="L9" s="20"/>
      <c r="M9" s="20"/>
      <c r="N9" s="20"/>
      <c r="O9" s="15"/>
      <c r="P9" s="15"/>
      <c r="Q9" s="20"/>
      <c r="R9" s="20"/>
      <c r="S9" s="20"/>
      <c r="T9" s="20"/>
      <c r="U9" s="20"/>
      <c r="V9" s="25"/>
      <c r="W9" s="26"/>
      <c r="X9" s="749" t="s">
        <v>601</v>
      </c>
      <c r="Y9" s="750"/>
      <c r="Z9" s="750"/>
      <c r="AA9" s="751"/>
      <c r="AB9" s="27"/>
      <c r="AC9" s="18"/>
    </row>
    <row r="10" spans="1:29">
      <c r="A10" s="417" t="s">
        <v>478</v>
      </c>
      <c r="B10" s="379">
        <v>43770</v>
      </c>
      <c r="C10" s="379">
        <v>43770</v>
      </c>
      <c r="D10" s="379">
        <v>43770</v>
      </c>
      <c r="E10" s="379">
        <v>43770</v>
      </c>
      <c r="F10" s="379">
        <v>43770</v>
      </c>
      <c r="G10" s="379">
        <v>43770</v>
      </c>
      <c r="H10" s="379">
        <v>43770</v>
      </c>
      <c r="I10" s="379">
        <v>43770</v>
      </c>
      <c r="J10" s="379">
        <v>43770</v>
      </c>
      <c r="K10" s="379">
        <v>43770</v>
      </c>
      <c r="L10" s="379">
        <v>43770</v>
      </c>
      <c r="M10" s="379">
        <v>43770</v>
      </c>
      <c r="N10" s="379">
        <v>43770</v>
      </c>
      <c r="O10" s="379">
        <v>43770</v>
      </c>
      <c r="P10" s="15"/>
      <c r="Q10" s="20"/>
      <c r="R10" s="20"/>
      <c r="S10" s="20"/>
      <c r="T10" s="20"/>
      <c r="U10" s="20"/>
      <c r="V10" s="28"/>
      <c r="W10" s="29"/>
      <c r="X10" s="752"/>
      <c r="Y10" s="753"/>
      <c r="Z10" s="753"/>
      <c r="AA10" s="754"/>
      <c r="AB10" s="30"/>
      <c r="AC10" s="15"/>
    </row>
    <row r="11" spans="1:29" ht="12.75" customHeight="1">
      <c r="A11" s="417" t="s">
        <v>818</v>
      </c>
      <c r="B11" s="379"/>
      <c r="C11" s="379">
        <v>43792</v>
      </c>
      <c r="D11" s="379"/>
      <c r="E11" s="379"/>
      <c r="F11" s="379"/>
      <c r="G11" s="379"/>
      <c r="H11" s="379">
        <v>43799</v>
      </c>
      <c r="I11" s="379"/>
      <c r="J11" s="379"/>
      <c r="K11" s="379"/>
      <c r="L11" s="379"/>
      <c r="M11" s="379"/>
      <c r="N11" s="379">
        <v>43777</v>
      </c>
      <c r="O11" s="379"/>
      <c r="P11" s="15"/>
      <c r="Q11" s="20"/>
      <c r="R11" s="20"/>
      <c r="S11" s="20"/>
      <c r="T11" s="20"/>
      <c r="U11" s="20"/>
      <c r="V11" s="32"/>
      <c r="W11" s="20"/>
      <c r="X11" s="752"/>
      <c r="Y11" s="753"/>
      <c r="Z11" s="753"/>
      <c r="AA11" s="754"/>
      <c r="AB11" s="20"/>
      <c r="AC11" s="15"/>
    </row>
    <row r="12" spans="1:29" ht="12.75" customHeight="1">
      <c r="A12" s="98" t="s">
        <v>489</v>
      </c>
      <c r="B12" s="381" t="str">
        <f>'New Hire'!C10</f>
        <v>1</v>
      </c>
      <c r="C12" s="382" t="str">
        <f>'New Hire'!D10</f>
        <v>P</v>
      </c>
      <c r="D12" s="382" t="str">
        <f>'New Hire'!E10</f>
        <v>3</v>
      </c>
      <c r="E12" s="382" t="s">
        <v>907</v>
      </c>
      <c r="F12" s="382">
        <f>'New Hire'!G10</f>
        <v>4</v>
      </c>
      <c r="G12" s="382" t="str">
        <f>'New Hire'!H10</f>
        <v>C</v>
      </c>
      <c r="H12" s="382" t="str">
        <f>'New Hire'!I10</f>
        <v>I</v>
      </c>
      <c r="I12" s="382" t="str">
        <f>'New Hire'!J10</f>
        <v>S</v>
      </c>
      <c r="J12" s="382" t="str">
        <f>'New Hire'!K10</f>
        <v>P</v>
      </c>
      <c r="K12" s="382" t="str">
        <f>'New Hire'!L10</f>
        <v>1</v>
      </c>
      <c r="L12" s="382" t="str">
        <f>'New Hire'!M10</f>
        <v>1</v>
      </c>
      <c r="M12" s="382">
        <f>'New Hire'!N10</f>
        <v>3</v>
      </c>
      <c r="N12" s="382">
        <f>'New Hire'!O10</f>
        <v>3</v>
      </c>
      <c r="O12" s="383" t="str">
        <f>'New Hire'!P10</f>
        <v>C</v>
      </c>
      <c r="P12" s="15"/>
      <c r="Q12" s="20"/>
      <c r="R12" s="20"/>
      <c r="S12" s="20"/>
      <c r="T12" s="20"/>
      <c r="U12" s="20"/>
      <c r="V12" s="32"/>
      <c r="W12" s="20"/>
      <c r="X12" s="755"/>
      <c r="Y12" s="756"/>
      <c r="Z12" s="756"/>
      <c r="AA12" s="757"/>
      <c r="AB12" s="20"/>
      <c r="AC12" s="15"/>
    </row>
    <row r="13" spans="1:29">
      <c r="A13" s="98" t="s">
        <v>490</v>
      </c>
      <c r="B13" s="384" t="str">
        <f>'New Hire'!C11</f>
        <v>;P</v>
      </c>
      <c r="C13" s="385" t="str">
        <f>'New Hire'!D11</f>
        <v>;A</v>
      </c>
      <c r="D13" s="385" t="str">
        <f>'New Hire'!E11</f>
        <v>;E</v>
      </c>
      <c r="E13" s="385" t="str">
        <f>'New Hire'!F11</f>
        <v>;I</v>
      </c>
      <c r="F13" s="385" t="str">
        <f>'New Hire'!G11</f>
        <v>;P</v>
      </c>
      <c r="G13" s="385" t="str">
        <f>'New Hire'!H11</f>
        <v>;A</v>
      </c>
      <c r="H13" s="385" t="str">
        <f>'New Hire'!I11</f>
        <v>;A</v>
      </c>
      <c r="I13" s="385" t="str">
        <f>'New Hire'!J11</f>
        <v>;V</v>
      </c>
      <c r="J13" s="385" t="str">
        <f>'New Hire'!K11</f>
        <v>;P</v>
      </c>
      <c r="K13" s="385" t="str">
        <f>'New Hire'!L11</f>
        <v>;A</v>
      </c>
      <c r="L13" s="385" t="str">
        <f>'New Hire'!M11</f>
        <v>;I</v>
      </c>
      <c r="M13" s="385" t="str">
        <f>'New Hire'!N11</f>
        <v>;P</v>
      </c>
      <c r="N13" s="385" t="str">
        <f>'New Hire'!O11</f>
        <v>;P</v>
      </c>
      <c r="O13" s="386" t="str">
        <f>'New Hire'!P11</f>
        <v>;I</v>
      </c>
      <c r="P13" s="15"/>
      <c r="Q13" s="20"/>
      <c r="R13" s="20"/>
      <c r="S13" s="20"/>
      <c r="T13" s="20"/>
      <c r="U13" s="20"/>
      <c r="V13" s="23"/>
      <c r="W13" s="19"/>
      <c r="X13" s="19"/>
      <c r="Y13" s="19"/>
      <c r="Z13" s="19"/>
      <c r="AA13" s="19"/>
      <c r="AB13" s="19"/>
      <c r="AC13" s="31"/>
    </row>
    <row r="14" spans="1:29">
      <c r="A14" s="99" t="s">
        <v>476</v>
      </c>
      <c r="B14" s="388">
        <f>'New Hire'!C27</f>
        <v>1</v>
      </c>
      <c r="C14" s="332">
        <f>'New Hire'!D27</f>
        <v>0.9</v>
      </c>
      <c r="D14" s="332">
        <f>'New Hire'!E27</f>
        <v>1</v>
      </c>
      <c r="E14" s="332">
        <f>'New Hire'!F27</f>
        <v>1</v>
      </c>
      <c r="F14" s="332">
        <f>'New Hire'!G27</f>
        <v>0.8</v>
      </c>
      <c r="G14" s="332">
        <f>'New Hire'!H27</f>
        <v>1</v>
      </c>
      <c r="H14" s="332">
        <f>'New Hire'!I27</f>
        <v>0.5</v>
      </c>
      <c r="I14" s="332">
        <f>'New Hire'!J27</f>
        <v>0.75</v>
      </c>
      <c r="J14" s="332">
        <f>'New Hire'!K27</f>
        <v>0.6</v>
      </c>
      <c r="K14" s="332">
        <f>'New Hire'!L27</f>
        <v>1</v>
      </c>
      <c r="L14" s="332">
        <f>'New Hire'!M27</f>
        <v>1</v>
      </c>
      <c r="M14" s="332">
        <f>'New Hire'!N27</f>
        <v>1</v>
      </c>
      <c r="N14" s="332">
        <f>'New Hire'!O27</f>
        <v>1</v>
      </c>
      <c r="O14" s="389">
        <f>'New Hire'!P27</f>
        <v>1</v>
      </c>
      <c r="P14" s="15"/>
      <c r="Q14" s="20"/>
      <c r="R14" s="20"/>
      <c r="S14" s="20"/>
      <c r="T14" s="20"/>
      <c r="U14" s="20"/>
      <c r="V14" s="23"/>
      <c r="W14" s="19"/>
      <c r="X14" s="19"/>
      <c r="Y14" s="19"/>
      <c r="Z14" s="19"/>
      <c r="AA14" s="19"/>
      <c r="AB14" s="19"/>
      <c r="AC14" s="31"/>
    </row>
    <row r="15" spans="1:29">
      <c r="A15" s="417" t="s">
        <v>479</v>
      </c>
      <c r="B15" s="332">
        <f>IF(B11=0,NETWORKDAYS(B10,$A$6),NETWORKDAYS(B10,B11))</f>
        <v>21</v>
      </c>
      <c r="C15" s="332">
        <f t="shared" ref="C15:O15" si="0">IF(C11=0,NETWORKDAYS(C10,$A$6),NETWORKDAYS(C10,C11))</f>
        <v>16</v>
      </c>
      <c r="D15" s="332">
        <f t="shared" si="0"/>
        <v>21</v>
      </c>
      <c r="E15" s="332">
        <f t="shared" si="0"/>
        <v>21</v>
      </c>
      <c r="F15" s="332">
        <f t="shared" si="0"/>
        <v>21</v>
      </c>
      <c r="G15" s="332">
        <f t="shared" si="0"/>
        <v>21</v>
      </c>
      <c r="H15" s="332">
        <f t="shared" si="0"/>
        <v>21</v>
      </c>
      <c r="I15" s="332">
        <f t="shared" si="0"/>
        <v>21</v>
      </c>
      <c r="J15" s="332">
        <f t="shared" si="0"/>
        <v>21</v>
      </c>
      <c r="K15" s="332">
        <f t="shared" si="0"/>
        <v>21</v>
      </c>
      <c r="L15" s="332">
        <f t="shared" si="0"/>
        <v>21</v>
      </c>
      <c r="M15" s="332">
        <f t="shared" si="0"/>
        <v>21</v>
      </c>
      <c r="N15" s="332">
        <f t="shared" si="0"/>
        <v>6</v>
      </c>
      <c r="O15" s="332">
        <f t="shared" si="0"/>
        <v>21</v>
      </c>
      <c r="P15" s="15"/>
      <c r="Q15" s="20"/>
      <c r="R15" s="20"/>
      <c r="S15" s="20"/>
      <c r="T15" s="20"/>
      <c r="U15" s="20"/>
      <c r="V15" s="23"/>
      <c r="W15" s="19"/>
      <c r="X15" s="19"/>
      <c r="Y15" s="19"/>
      <c r="Z15" s="19"/>
      <c r="AA15" s="19"/>
      <c r="AB15" s="19"/>
      <c r="AC15" s="31"/>
    </row>
    <row r="16" spans="1:29">
      <c r="A16" s="417" t="s">
        <v>793</v>
      </c>
      <c r="B16" s="332">
        <f>B15</f>
        <v>21</v>
      </c>
      <c r="C16" s="332">
        <f t="shared" ref="C16:O16" si="1">C15</f>
        <v>16</v>
      </c>
      <c r="D16" s="332">
        <f t="shared" si="1"/>
        <v>21</v>
      </c>
      <c r="E16" s="332">
        <f t="shared" si="1"/>
        <v>21</v>
      </c>
      <c r="F16" s="332">
        <f t="shared" si="1"/>
        <v>21</v>
      </c>
      <c r="G16" s="332">
        <f t="shared" si="1"/>
        <v>21</v>
      </c>
      <c r="H16" s="332">
        <f t="shared" si="1"/>
        <v>21</v>
      </c>
      <c r="I16" s="332">
        <f t="shared" si="1"/>
        <v>21</v>
      </c>
      <c r="J16" s="332">
        <f t="shared" si="1"/>
        <v>21</v>
      </c>
      <c r="K16" s="332">
        <f t="shared" si="1"/>
        <v>21</v>
      </c>
      <c r="L16" s="332">
        <f t="shared" si="1"/>
        <v>21</v>
      </c>
      <c r="M16" s="332">
        <f t="shared" si="1"/>
        <v>21</v>
      </c>
      <c r="N16" s="332">
        <f t="shared" si="1"/>
        <v>6</v>
      </c>
      <c r="O16" s="332">
        <f t="shared" si="1"/>
        <v>21</v>
      </c>
      <c r="P16" s="15"/>
      <c r="Q16" s="20"/>
      <c r="R16" s="20"/>
      <c r="S16" s="20"/>
      <c r="T16" s="20"/>
      <c r="U16" s="20"/>
      <c r="V16" s="23"/>
      <c r="W16" s="19"/>
      <c r="X16" s="19"/>
      <c r="Y16" s="19"/>
      <c r="Z16" s="19"/>
      <c r="AA16" s="19"/>
      <c r="AB16" s="19"/>
      <c r="AC16" s="31"/>
    </row>
    <row r="17" spans="1:29">
      <c r="A17" s="417" t="s">
        <v>632</v>
      </c>
      <c r="B17" s="332">
        <f>NETWORKDAYS(EOMONTH($A$6,-1)+1,EOMONTH($A$6,0))</f>
        <v>21</v>
      </c>
      <c r="C17" s="332">
        <f t="shared" ref="C17:O17" si="2">NETWORKDAYS(EOMONTH($A$6,-1)+1,EOMONTH($A$6,0))</f>
        <v>21</v>
      </c>
      <c r="D17" s="332">
        <f t="shared" si="2"/>
        <v>21</v>
      </c>
      <c r="E17" s="332">
        <f t="shared" si="2"/>
        <v>21</v>
      </c>
      <c r="F17" s="332">
        <f t="shared" si="2"/>
        <v>21</v>
      </c>
      <c r="G17" s="332">
        <f t="shared" si="2"/>
        <v>21</v>
      </c>
      <c r="H17" s="332">
        <f t="shared" si="2"/>
        <v>21</v>
      </c>
      <c r="I17" s="332">
        <f t="shared" si="2"/>
        <v>21</v>
      </c>
      <c r="J17" s="332">
        <f t="shared" si="2"/>
        <v>21</v>
      </c>
      <c r="K17" s="332">
        <f t="shared" si="2"/>
        <v>21</v>
      </c>
      <c r="L17" s="332">
        <f t="shared" si="2"/>
        <v>21</v>
      </c>
      <c r="M17" s="332">
        <f t="shared" si="2"/>
        <v>21</v>
      </c>
      <c r="N17" s="332">
        <f t="shared" si="2"/>
        <v>21</v>
      </c>
      <c r="O17" s="389">
        <f t="shared" si="2"/>
        <v>21</v>
      </c>
      <c r="P17" s="15"/>
      <c r="Q17" s="20"/>
      <c r="R17" s="20"/>
      <c r="S17" s="20"/>
      <c r="T17" s="20"/>
      <c r="U17" s="20"/>
      <c r="V17" s="23"/>
      <c r="W17" s="19"/>
      <c r="X17" s="19"/>
      <c r="Y17" s="19"/>
      <c r="Z17" s="19"/>
      <c r="AA17" s="19"/>
      <c r="AB17" s="19"/>
      <c r="AC17" s="31"/>
    </row>
    <row r="18" spans="1:29">
      <c r="A18" s="417" t="s">
        <v>511</v>
      </c>
      <c r="B18" s="329">
        <f>IF(B11&lt;&gt;0,_xlfn.DAYS(B11,B10)+1,_xlfn.DAYS($A$6,B10)+1)</f>
        <v>30</v>
      </c>
      <c r="C18" s="329">
        <f t="shared" ref="C18:O18" si="3">IF(C11&lt;&gt;0,_xlfn.DAYS(C11,C10)+1,_xlfn.DAYS($A$6,C10)+1)</f>
        <v>23</v>
      </c>
      <c r="D18" s="329">
        <f t="shared" si="3"/>
        <v>30</v>
      </c>
      <c r="E18" s="329">
        <f t="shared" si="3"/>
        <v>30</v>
      </c>
      <c r="F18" s="329">
        <f t="shared" si="3"/>
        <v>30</v>
      </c>
      <c r="G18" s="329">
        <f t="shared" si="3"/>
        <v>30</v>
      </c>
      <c r="H18" s="329">
        <f t="shared" si="3"/>
        <v>30</v>
      </c>
      <c r="I18" s="329">
        <f t="shared" si="3"/>
        <v>30</v>
      </c>
      <c r="J18" s="329">
        <f t="shared" si="3"/>
        <v>30</v>
      </c>
      <c r="K18" s="329">
        <f t="shared" si="3"/>
        <v>30</v>
      </c>
      <c r="L18" s="329">
        <f t="shared" si="3"/>
        <v>30</v>
      </c>
      <c r="M18" s="329">
        <f t="shared" si="3"/>
        <v>30</v>
      </c>
      <c r="N18" s="329">
        <f t="shared" si="3"/>
        <v>8</v>
      </c>
      <c r="O18" s="329">
        <f t="shared" si="3"/>
        <v>30</v>
      </c>
      <c r="P18" s="15"/>
      <c r="Q18" s="20"/>
      <c r="R18" s="20"/>
      <c r="S18" s="20"/>
      <c r="T18" s="20"/>
      <c r="U18" s="20"/>
      <c r="V18" s="23"/>
      <c r="W18" s="19"/>
      <c r="X18" s="19"/>
      <c r="Y18" s="19"/>
      <c r="Z18" s="19"/>
      <c r="AA18" s="19"/>
      <c r="AB18" s="19"/>
      <c r="AC18" s="31"/>
    </row>
    <row r="19" spans="1:29">
      <c r="A19" s="98" t="s">
        <v>531</v>
      </c>
      <c r="B19" s="330">
        <f>DATEDIF('New Hire'!C41,$A$6,"Y")</f>
        <v>10</v>
      </c>
      <c r="C19" s="331">
        <f>DATEDIF('New Hire'!D41,$A$6,"Y")</f>
        <v>13</v>
      </c>
      <c r="D19" s="331">
        <f>DATEDIF('New Hire'!E41,$A$6,"Y")</f>
        <v>0</v>
      </c>
      <c r="E19" s="331">
        <f>DATEDIF('New Hire'!F41,$A$6,"Y")</f>
        <v>4</v>
      </c>
      <c r="F19" s="331">
        <f>DATEDIF('New Hire'!G41,$A$6,"Y")</f>
        <v>10</v>
      </c>
      <c r="G19" s="331">
        <f>DATEDIF('New Hire'!H41,$A$6,"Y")</f>
        <v>0</v>
      </c>
      <c r="H19" s="331">
        <f>DATEDIF('New Hire'!I41,$A$6,"Y")</f>
        <v>15</v>
      </c>
      <c r="I19" s="331">
        <f>DATEDIF('New Hire'!J41,$A$6,"Y")</f>
        <v>0</v>
      </c>
      <c r="J19" s="331">
        <f>DATEDIF('New Hire'!K41,$A$6,"Y")</f>
        <v>0</v>
      </c>
      <c r="K19" s="331">
        <f>DATEDIF('New Hire'!L41,$A$6,"Y")</f>
        <v>10</v>
      </c>
      <c r="L19" s="331">
        <f>DATEDIF('New Hire'!M41,$A$6,"Y")</f>
        <v>5</v>
      </c>
      <c r="M19" s="331">
        <f>DATEDIF('New Hire'!N41,$A$6,"Y")</f>
        <v>0</v>
      </c>
      <c r="N19" s="331">
        <f>DATEDIF('New Hire'!O41,$A$6,"Y")</f>
        <v>11</v>
      </c>
      <c r="O19" s="387">
        <f>DATEDIF('New Hire'!P41,$A$6,"Y")</f>
        <v>0</v>
      </c>
      <c r="P19" s="15"/>
      <c r="Q19" s="20"/>
      <c r="R19" s="20"/>
      <c r="S19" s="20"/>
      <c r="T19" s="20"/>
      <c r="U19" s="20"/>
      <c r="V19" s="23"/>
      <c r="W19" s="19"/>
      <c r="X19" s="19"/>
      <c r="Y19" s="19"/>
      <c r="Z19" s="19"/>
      <c r="AA19" s="19"/>
      <c r="AB19" s="19"/>
      <c r="AC19" s="31"/>
    </row>
    <row r="20" spans="1:29">
      <c r="A20" s="98" t="s">
        <v>563</v>
      </c>
      <c r="B20" s="330" t="str">
        <f>'New Hire'!C52</f>
        <v>A</v>
      </c>
      <c r="C20" s="331" t="str">
        <f>'New Hire'!D52</f>
        <v>A</v>
      </c>
      <c r="D20" s="331" t="str">
        <f>'New Hire'!E52</f>
        <v>A</v>
      </c>
      <c r="E20" s="331" t="str">
        <f>'New Hire'!F52</f>
        <v>B</v>
      </c>
      <c r="F20" s="331" t="str">
        <f>'New Hire'!G52</f>
        <v>B</v>
      </c>
      <c r="G20" s="331" t="str">
        <f>'New Hire'!H52</f>
        <v>C</v>
      </c>
      <c r="H20" s="331" t="str">
        <f>'New Hire'!I52</f>
        <v>D</v>
      </c>
      <c r="I20" s="331" t="str">
        <f>'New Hire'!J52</f>
        <v>D</v>
      </c>
      <c r="J20" s="331" t="str">
        <f>'New Hire'!K52</f>
        <v>A</v>
      </c>
      <c r="K20" s="331" t="str">
        <f>'New Hire'!L52</f>
        <v>A</v>
      </c>
      <c r="L20" s="331" t="str">
        <f>'New Hire'!M52</f>
        <v>A</v>
      </c>
      <c r="M20" s="331" t="str">
        <f>'New Hire'!N52</f>
        <v>A</v>
      </c>
      <c r="N20" s="331" t="str">
        <f>'New Hire'!O52</f>
        <v>A</v>
      </c>
      <c r="O20" s="387" t="str">
        <f>'New Hire'!P52</f>
        <v>B</v>
      </c>
      <c r="P20" s="15"/>
      <c r="Q20" s="20"/>
      <c r="R20" s="20"/>
      <c r="S20" s="20"/>
      <c r="T20" s="20"/>
      <c r="U20" s="20"/>
      <c r="V20" s="23"/>
      <c r="W20" s="19"/>
      <c r="X20" s="19"/>
      <c r="Y20" s="19"/>
      <c r="Z20" s="19"/>
      <c r="AA20" s="19"/>
      <c r="AB20" s="19"/>
      <c r="AC20" s="31"/>
    </row>
    <row r="21" spans="1:29">
      <c r="A21" s="97" t="s">
        <v>107</v>
      </c>
      <c r="B21" s="90">
        <v>1</v>
      </c>
      <c r="C21" s="88">
        <v>2</v>
      </c>
      <c r="D21" s="88">
        <v>0</v>
      </c>
      <c r="E21" s="88">
        <v>3</v>
      </c>
      <c r="F21" s="88">
        <v>0</v>
      </c>
      <c r="G21" s="88">
        <v>0</v>
      </c>
      <c r="H21" s="88">
        <v>2</v>
      </c>
      <c r="I21" s="88">
        <v>0</v>
      </c>
      <c r="J21" s="88">
        <v>0</v>
      </c>
      <c r="K21" s="88">
        <v>0</v>
      </c>
      <c r="L21" s="88">
        <v>0</v>
      </c>
      <c r="M21" s="88">
        <v>0</v>
      </c>
      <c r="N21" s="88">
        <v>0</v>
      </c>
      <c r="O21" s="392">
        <v>0</v>
      </c>
      <c r="P21" s="15"/>
      <c r="Q21" s="20"/>
      <c r="R21" s="20"/>
      <c r="S21" s="20"/>
      <c r="T21" s="20"/>
      <c r="U21" s="20"/>
      <c r="V21" s="23"/>
      <c r="W21" s="19"/>
      <c r="X21" s="19"/>
      <c r="Y21" s="19"/>
      <c r="Z21" s="19"/>
      <c r="AA21" s="19"/>
      <c r="AB21" s="19"/>
      <c r="AC21" s="31"/>
    </row>
    <row r="22" spans="1:29" ht="15.6">
      <c r="A22" s="96" t="s">
        <v>113</v>
      </c>
      <c r="B22" s="319">
        <f>3600000*B21</f>
        <v>3600000</v>
      </c>
      <c r="C22" s="89">
        <f t="shared" ref="C22:O22" si="4">3600000*C21</f>
        <v>7200000</v>
      </c>
      <c r="D22" s="89">
        <f t="shared" si="4"/>
        <v>0</v>
      </c>
      <c r="E22" s="89">
        <f t="shared" si="4"/>
        <v>10800000</v>
      </c>
      <c r="F22" s="89">
        <f t="shared" si="4"/>
        <v>0</v>
      </c>
      <c r="G22" s="89">
        <f t="shared" si="4"/>
        <v>0</v>
      </c>
      <c r="H22" s="89">
        <f t="shared" si="4"/>
        <v>7200000</v>
      </c>
      <c r="I22" s="89">
        <f t="shared" si="4"/>
        <v>0</v>
      </c>
      <c r="J22" s="89">
        <f t="shared" si="4"/>
        <v>0</v>
      </c>
      <c r="K22" s="89">
        <f t="shared" si="4"/>
        <v>0</v>
      </c>
      <c r="L22" s="89">
        <f t="shared" si="4"/>
        <v>0</v>
      </c>
      <c r="M22" s="89">
        <f t="shared" si="4"/>
        <v>0</v>
      </c>
      <c r="N22" s="89">
        <f t="shared" si="4"/>
        <v>0</v>
      </c>
      <c r="O22" s="393">
        <f t="shared" si="4"/>
        <v>0</v>
      </c>
      <c r="P22" s="15"/>
      <c r="Q22" s="20"/>
      <c r="R22" s="20"/>
      <c r="S22" s="20"/>
      <c r="T22" s="20"/>
      <c r="U22" s="20"/>
      <c r="V22" s="40"/>
      <c r="W22" s="41"/>
      <c r="X22" s="19"/>
      <c r="Y22" s="19"/>
      <c r="Z22" s="19"/>
      <c r="AA22" s="19"/>
      <c r="AB22" s="16"/>
      <c r="AC22" s="17"/>
    </row>
    <row r="23" spans="1:29">
      <c r="A23" s="96" t="s">
        <v>114</v>
      </c>
      <c r="B23" s="320">
        <v>9000000</v>
      </c>
      <c r="C23" s="89">
        <v>9000000</v>
      </c>
      <c r="D23" s="89">
        <v>9000000</v>
      </c>
      <c r="E23" s="89">
        <v>9000000</v>
      </c>
      <c r="F23" s="89">
        <v>9000000</v>
      </c>
      <c r="G23" s="89">
        <v>9000000</v>
      </c>
      <c r="H23" s="89">
        <v>9000000</v>
      </c>
      <c r="I23" s="89">
        <v>9000000</v>
      </c>
      <c r="J23" s="89">
        <v>9000000</v>
      </c>
      <c r="K23" s="89">
        <v>9000000</v>
      </c>
      <c r="L23" s="89">
        <v>9000000</v>
      </c>
      <c r="M23" s="89">
        <v>9000000</v>
      </c>
      <c r="N23" s="89">
        <v>9000000</v>
      </c>
      <c r="O23" s="393">
        <v>9000000</v>
      </c>
      <c r="P23" s="15"/>
      <c r="Q23" s="66"/>
      <c r="R23" s="66"/>
      <c r="S23" s="66"/>
      <c r="T23" s="66"/>
      <c r="U23" s="66"/>
      <c r="V23" s="50"/>
      <c r="W23" s="44"/>
      <c r="X23" s="44"/>
      <c r="Y23" s="44"/>
      <c r="Z23" s="44"/>
      <c r="AA23" s="44"/>
      <c r="AB23" s="44"/>
      <c r="AC23" s="51"/>
    </row>
    <row r="24" spans="1:29" ht="15.6">
      <c r="A24" s="406" t="s">
        <v>53</v>
      </c>
      <c r="B24" s="64"/>
      <c r="C24" s="65"/>
      <c r="D24" s="65"/>
      <c r="E24" s="66"/>
      <c r="F24" s="65"/>
      <c r="G24" s="65"/>
      <c r="H24" s="21"/>
      <c r="I24" s="65"/>
      <c r="J24" s="65"/>
      <c r="K24" s="66"/>
      <c r="L24" s="66"/>
      <c r="M24" s="66"/>
      <c r="N24" s="66"/>
      <c r="O24" s="66"/>
      <c r="P24" s="337"/>
      <c r="Q24" s="66"/>
      <c r="R24" s="66"/>
      <c r="S24" s="66"/>
      <c r="T24" s="66"/>
      <c r="U24" s="66"/>
      <c r="V24" s="112" t="s">
        <v>57</v>
      </c>
      <c r="W24" s="113" t="s">
        <v>67</v>
      </c>
      <c r="X24" s="113" t="s">
        <v>69</v>
      </c>
      <c r="Y24" s="113" t="s">
        <v>70</v>
      </c>
      <c r="Z24" s="113" t="s">
        <v>56</v>
      </c>
      <c r="AA24" s="113" t="s">
        <v>54</v>
      </c>
      <c r="AB24" s="113" t="s">
        <v>58</v>
      </c>
      <c r="AC24" s="114" t="s">
        <v>59</v>
      </c>
    </row>
    <row r="25" spans="1:29">
      <c r="A25" s="407" t="s">
        <v>55</v>
      </c>
      <c r="B25" s="64"/>
      <c r="C25" s="65"/>
      <c r="D25" s="65"/>
      <c r="E25" s="66"/>
      <c r="F25" s="65"/>
      <c r="G25" s="65"/>
      <c r="H25" s="21"/>
      <c r="I25" s="65"/>
      <c r="J25" s="65"/>
      <c r="K25" s="66"/>
      <c r="L25" s="66"/>
      <c r="M25" s="66"/>
      <c r="N25" s="66"/>
      <c r="O25" s="376"/>
      <c r="P25" s="376"/>
      <c r="Q25" s="66"/>
      <c r="R25" s="66"/>
      <c r="S25" s="66"/>
      <c r="T25" s="66"/>
      <c r="U25" s="66"/>
      <c r="V25" s="350" t="s">
        <v>2</v>
      </c>
      <c r="W25" s="351">
        <v>91999901</v>
      </c>
      <c r="X25" s="352" t="s">
        <v>505</v>
      </c>
      <c r="Y25" s="352" t="s">
        <v>506</v>
      </c>
      <c r="Z25" s="353" t="s">
        <v>507</v>
      </c>
      <c r="AA25" s="354">
        <v>8000000</v>
      </c>
      <c r="AB25" s="352"/>
      <c r="AC25" s="355"/>
    </row>
    <row r="26" spans="1:29">
      <c r="A26" s="436" t="s">
        <v>477</v>
      </c>
      <c r="B26" s="326">
        <f t="shared" ref="B26:O26" si="5">IF(OR(B20="A",B20="B"),IF(B12&lt;&gt;"C",ROUND(B129*B86,0),0),IF(B12&lt;&gt;"C",ROUND(B142*$B$4,0),0))</f>
        <v>7000000</v>
      </c>
      <c r="C26" s="326">
        <f t="shared" si="5"/>
        <v>4723810</v>
      </c>
      <c r="D26" s="326">
        <f t="shared" si="5"/>
        <v>11000000</v>
      </c>
      <c r="E26" s="326">
        <f t="shared" si="5"/>
        <v>11000000</v>
      </c>
      <c r="F26" s="326">
        <f t="shared" si="5"/>
        <v>16000000</v>
      </c>
      <c r="G26" s="326">
        <f t="shared" si="5"/>
        <v>0</v>
      </c>
      <c r="H26" s="326">
        <f t="shared" si="5"/>
        <v>120666000</v>
      </c>
      <c r="I26" s="326">
        <f t="shared" si="5"/>
        <v>90499500</v>
      </c>
      <c r="J26" s="326">
        <f t="shared" si="5"/>
        <v>55000000</v>
      </c>
      <c r="K26" s="326">
        <f t="shared" si="5"/>
        <v>10000000</v>
      </c>
      <c r="L26" s="326">
        <f t="shared" si="5"/>
        <v>11500000</v>
      </c>
      <c r="M26" s="326">
        <f t="shared" si="5"/>
        <v>7000000</v>
      </c>
      <c r="N26" s="326">
        <f t="shared" si="5"/>
        <v>2285714</v>
      </c>
      <c r="O26" s="326">
        <f t="shared" si="5"/>
        <v>0</v>
      </c>
      <c r="P26" s="349">
        <f>SUM(B26:O26)</f>
        <v>346675024</v>
      </c>
      <c r="Q26" s="89" t="s">
        <v>523</v>
      </c>
      <c r="R26" s="89" t="s">
        <v>523</v>
      </c>
      <c r="S26" s="89" t="s">
        <v>523</v>
      </c>
      <c r="T26" s="89" t="s">
        <v>523</v>
      </c>
      <c r="U26" s="89" t="s">
        <v>523</v>
      </c>
      <c r="V26" s="350" t="s">
        <v>2</v>
      </c>
      <c r="W26" s="351">
        <v>91999902</v>
      </c>
      <c r="X26" s="352" t="s">
        <v>505</v>
      </c>
      <c r="Y26" s="352" t="s">
        <v>506</v>
      </c>
      <c r="Z26" s="353" t="s">
        <v>507</v>
      </c>
      <c r="AA26" s="354">
        <v>8000000</v>
      </c>
      <c r="AB26" s="352"/>
      <c r="AC26" s="355"/>
    </row>
    <row r="27" spans="1:29">
      <c r="A27" s="442" t="s">
        <v>494</v>
      </c>
      <c r="B27" s="326">
        <f t="shared" ref="B27:O27" si="6">IF(OR(B20="A",B20="B"),ROUND(B131*B86,0),ROUND(B131*B86*$B$4,0))</f>
        <v>700000</v>
      </c>
      <c r="C27" s="326">
        <f t="shared" si="6"/>
        <v>472381</v>
      </c>
      <c r="D27" s="326">
        <f t="shared" si="6"/>
        <v>1100000</v>
      </c>
      <c r="E27" s="326">
        <f t="shared" si="6"/>
        <v>0</v>
      </c>
      <c r="F27" s="326">
        <f t="shared" si="6"/>
        <v>0</v>
      </c>
      <c r="G27" s="326">
        <f t="shared" si="6"/>
        <v>0</v>
      </c>
      <c r="H27" s="326">
        <f t="shared" si="6"/>
        <v>12762750</v>
      </c>
      <c r="I27" s="326">
        <f t="shared" si="6"/>
        <v>0</v>
      </c>
      <c r="J27" s="326">
        <f t="shared" si="6"/>
        <v>5500000</v>
      </c>
      <c r="K27" s="326">
        <f t="shared" si="6"/>
        <v>1000000</v>
      </c>
      <c r="L27" s="326">
        <f t="shared" si="6"/>
        <v>0</v>
      </c>
      <c r="M27" s="326">
        <f t="shared" si="6"/>
        <v>1400000</v>
      </c>
      <c r="N27" s="326">
        <f t="shared" si="6"/>
        <v>342857</v>
      </c>
      <c r="O27" s="394">
        <f t="shared" si="6"/>
        <v>0</v>
      </c>
      <c r="P27" s="349">
        <f>SUM(B27:O27)</f>
        <v>23277988</v>
      </c>
      <c r="Q27" s="373" t="s">
        <v>523</v>
      </c>
      <c r="R27" s="373" t="s">
        <v>523</v>
      </c>
      <c r="S27" s="373" t="s">
        <v>523</v>
      </c>
      <c r="T27" s="373" t="s">
        <v>523</v>
      </c>
      <c r="U27" s="89" t="s">
        <v>523</v>
      </c>
      <c r="V27" s="350" t="s">
        <v>2</v>
      </c>
      <c r="W27" s="351">
        <v>91999904</v>
      </c>
      <c r="X27" s="352" t="s">
        <v>509</v>
      </c>
      <c r="Y27" s="352" t="s">
        <v>506</v>
      </c>
      <c r="Z27" s="353" t="s">
        <v>507</v>
      </c>
      <c r="AA27" s="354">
        <v>8000000</v>
      </c>
      <c r="AB27" s="352"/>
      <c r="AC27" s="355"/>
    </row>
    <row r="28" spans="1:29">
      <c r="A28" s="442" t="s">
        <v>566</v>
      </c>
      <c r="B28" s="326">
        <f t="shared" ref="B28:O28" si="7">IF(OR(B20="A",B20="B"),ROUND(B132*B86,0),ROUND(B132*B86*$B$4,0))</f>
        <v>1400000</v>
      </c>
      <c r="C28" s="326">
        <f t="shared" si="7"/>
        <v>944762</v>
      </c>
      <c r="D28" s="326">
        <f t="shared" si="7"/>
        <v>2350000</v>
      </c>
      <c r="E28" s="326">
        <f t="shared" si="7"/>
        <v>0</v>
      </c>
      <c r="F28" s="326">
        <f t="shared" si="7"/>
        <v>0</v>
      </c>
      <c r="G28" s="326">
        <f t="shared" si="7"/>
        <v>0</v>
      </c>
      <c r="H28" s="326">
        <f t="shared" si="7"/>
        <v>25525500</v>
      </c>
      <c r="I28" s="326">
        <f t="shared" si="7"/>
        <v>0</v>
      </c>
      <c r="J28" s="326">
        <f t="shared" si="7"/>
        <v>11000000</v>
      </c>
      <c r="K28" s="326">
        <f t="shared" si="7"/>
        <v>2000000</v>
      </c>
      <c r="L28" s="326">
        <f t="shared" si="7"/>
        <v>0</v>
      </c>
      <c r="M28" s="326">
        <f t="shared" si="7"/>
        <v>2100000</v>
      </c>
      <c r="N28" s="326">
        <f t="shared" si="7"/>
        <v>471429</v>
      </c>
      <c r="O28" s="394">
        <f t="shared" si="7"/>
        <v>0</v>
      </c>
      <c r="P28" s="349">
        <f>SUM(B28:O28)</f>
        <v>45791691</v>
      </c>
      <c r="Q28" s="373" t="s">
        <v>523</v>
      </c>
      <c r="R28" s="373" t="s">
        <v>523</v>
      </c>
      <c r="S28" s="373" t="s">
        <v>523</v>
      </c>
      <c r="T28" s="373" t="s">
        <v>523</v>
      </c>
      <c r="U28" s="89" t="s">
        <v>523</v>
      </c>
      <c r="V28" s="350" t="s">
        <v>2</v>
      </c>
      <c r="W28" s="351">
        <v>91999905</v>
      </c>
      <c r="X28" s="352" t="s">
        <v>505</v>
      </c>
      <c r="Y28" s="352" t="s">
        <v>506</v>
      </c>
      <c r="Z28" s="353" t="s">
        <v>507</v>
      </c>
      <c r="AA28" s="354">
        <v>8000000</v>
      </c>
      <c r="AB28" s="352"/>
      <c r="AC28" s="355"/>
    </row>
    <row r="29" spans="1:29">
      <c r="A29" s="436" t="s">
        <v>426</v>
      </c>
      <c r="B29" s="326"/>
      <c r="C29" s="326"/>
      <c r="D29" s="326"/>
      <c r="E29" s="334"/>
      <c r="F29" s="326"/>
      <c r="G29" s="326">
        <f>ROUND(G130*B4,0)*AC62+ROUND(G130*B4,0)*AC63</f>
        <v>29006250</v>
      </c>
      <c r="H29" s="326"/>
      <c r="I29" s="326"/>
      <c r="J29" s="326"/>
      <c r="K29" s="334"/>
      <c r="L29" s="334"/>
      <c r="M29" s="334"/>
      <c r="N29" s="334"/>
      <c r="O29" s="395">
        <f>ROUND(O130*AC64,0)+ROUND(O130*AC65,0)</f>
        <v>4500000</v>
      </c>
      <c r="P29" s="349">
        <f>SUM(B29:O29)</f>
        <v>33506250</v>
      </c>
      <c r="Q29" s="373" t="s">
        <v>523</v>
      </c>
      <c r="R29" s="373" t="s">
        <v>523</v>
      </c>
      <c r="S29" s="373"/>
      <c r="T29" s="373"/>
      <c r="U29" s="373"/>
      <c r="V29" s="350" t="s">
        <v>2</v>
      </c>
      <c r="W29" s="351">
        <v>91999906</v>
      </c>
      <c r="X29" s="352" t="s">
        <v>505</v>
      </c>
      <c r="Y29" s="352" t="s">
        <v>506</v>
      </c>
      <c r="Z29" s="353" t="s">
        <v>507</v>
      </c>
      <c r="AA29" s="354">
        <v>8000000</v>
      </c>
      <c r="AB29" s="352"/>
      <c r="AC29" s="355"/>
    </row>
    <row r="30" spans="1:29">
      <c r="A30" s="488" t="s">
        <v>694</v>
      </c>
      <c r="B30" s="492"/>
      <c r="C30" s="431"/>
      <c r="D30" s="431"/>
      <c r="E30" s="431"/>
      <c r="F30" s="431"/>
      <c r="G30" s="431"/>
      <c r="H30" s="431"/>
      <c r="I30" s="431"/>
      <c r="J30" s="431"/>
      <c r="K30" s="431"/>
      <c r="L30" s="431"/>
      <c r="M30" s="431">
        <f>M78+M79</f>
        <v>2423100</v>
      </c>
      <c r="N30" s="431"/>
      <c r="O30" s="493"/>
      <c r="P30" s="453">
        <f t="shared" ref="P30:P36" si="8">SUM(B30:O30)</f>
        <v>2423100</v>
      </c>
      <c r="Q30" s="437" t="s">
        <v>523</v>
      </c>
      <c r="R30" s="437" t="s">
        <v>523</v>
      </c>
      <c r="S30" s="428"/>
      <c r="T30" s="428"/>
      <c r="U30" s="428"/>
      <c r="V30" s="350" t="s">
        <v>2</v>
      </c>
      <c r="W30" s="351">
        <v>91999901</v>
      </c>
      <c r="X30" s="352" t="s">
        <v>505</v>
      </c>
      <c r="Y30" s="352" t="s">
        <v>506</v>
      </c>
      <c r="Z30" s="353" t="s">
        <v>535</v>
      </c>
      <c r="AA30" s="354">
        <v>7000000</v>
      </c>
      <c r="AB30" s="352"/>
      <c r="AC30" s="355"/>
    </row>
    <row r="31" spans="1:29">
      <c r="A31" s="554" t="s">
        <v>820</v>
      </c>
      <c r="B31" s="362"/>
      <c r="C31" s="362" t="e">
        <f>ROUND(ROUND(C123/8,2)*C83,0)</f>
        <v>#REF!</v>
      </c>
      <c r="D31" s="362"/>
      <c r="E31" s="362"/>
      <c r="F31" s="362"/>
      <c r="G31" s="362"/>
      <c r="H31" s="362" t="e">
        <f>ROUND(ROUND(H123/8,2)*H83,0)</f>
        <v>#REF!</v>
      </c>
      <c r="I31" s="362"/>
      <c r="J31" s="362"/>
      <c r="K31" s="362"/>
      <c r="L31" s="362"/>
      <c r="M31" s="362"/>
      <c r="N31" s="362" t="e">
        <f>ROUND(ROUND(N123/8,2)*N83,0)</f>
        <v>#REF!</v>
      </c>
      <c r="O31" s="555"/>
      <c r="P31" s="521" t="e">
        <f>SUM(B31:O31)</f>
        <v>#REF!</v>
      </c>
      <c r="Q31" s="522" t="s">
        <v>523</v>
      </c>
      <c r="R31" s="522" t="s">
        <v>523</v>
      </c>
      <c r="S31" s="556"/>
      <c r="T31" s="556"/>
      <c r="U31" s="556"/>
      <c r="V31" s="350" t="s">
        <v>2</v>
      </c>
      <c r="W31" s="351">
        <v>91999902</v>
      </c>
      <c r="X31" s="352" t="s">
        <v>505</v>
      </c>
      <c r="Y31" s="352" t="s">
        <v>506</v>
      </c>
      <c r="Z31" s="353" t="s">
        <v>535</v>
      </c>
      <c r="AA31" s="354">
        <v>7000000</v>
      </c>
      <c r="AB31" s="352"/>
      <c r="AC31" s="355"/>
    </row>
    <row r="32" spans="1:29">
      <c r="A32" s="554" t="s">
        <v>821</v>
      </c>
      <c r="B32" s="362"/>
      <c r="C32" s="362" t="e">
        <f>ROUND(ROUND(C124/8,2)*C83,0)</f>
        <v>#REF!</v>
      </c>
      <c r="D32" s="362"/>
      <c r="E32" s="362"/>
      <c r="F32" s="362"/>
      <c r="G32" s="362"/>
      <c r="H32" s="362">
        <v>0</v>
      </c>
      <c r="I32" s="362"/>
      <c r="J32" s="362"/>
      <c r="K32" s="362"/>
      <c r="L32" s="362"/>
      <c r="M32" s="362"/>
      <c r="N32" s="362">
        <v>0</v>
      </c>
      <c r="O32" s="555"/>
      <c r="P32" s="521" t="e">
        <f>SUM(B32:O32)</f>
        <v>#REF!</v>
      </c>
      <c r="Q32" s="522" t="s">
        <v>523</v>
      </c>
      <c r="R32" s="522" t="s">
        <v>523</v>
      </c>
      <c r="S32" s="556"/>
      <c r="T32" s="556"/>
      <c r="U32" s="556"/>
      <c r="V32" s="350" t="s">
        <v>2</v>
      </c>
      <c r="W32" s="351">
        <v>91999904</v>
      </c>
      <c r="X32" s="352" t="s">
        <v>509</v>
      </c>
      <c r="Y32" s="352" t="s">
        <v>506</v>
      </c>
      <c r="Z32" s="353" t="s">
        <v>535</v>
      </c>
      <c r="AA32" s="354">
        <v>7000000</v>
      </c>
      <c r="AB32" s="352"/>
      <c r="AC32" s="355"/>
    </row>
    <row r="33" spans="1:31">
      <c r="A33" s="554" t="s">
        <v>822</v>
      </c>
      <c r="B33" s="362"/>
      <c r="C33" s="362">
        <f>ROUND(C118*C83,0)</f>
        <v>518270</v>
      </c>
      <c r="D33" s="362"/>
      <c r="E33" s="362"/>
      <c r="F33" s="362"/>
      <c r="G33" s="362"/>
      <c r="H33" s="362">
        <f>ROUND(H118*H83,0)</f>
        <v>0</v>
      </c>
      <c r="I33" s="362"/>
      <c r="J33" s="362"/>
      <c r="K33" s="362"/>
      <c r="L33" s="362"/>
      <c r="M33" s="362"/>
      <c r="N33" s="362">
        <f>ROUND(N118*N83,0)</f>
        <v>0</v>
      </c>
      <c r="O33" s="555"/>
      <c r="P33" s="521">
        <f>SUM(B33:O33)</f>
        <v>518270</v>
      </c>
      <c r="Q33" s="522" t="s">
        <v>523</v>
      </c>
      <c r="R33" s="522" t="s">
        <v>523</v>
      </c>
      <c r="S33" s="556"/>
      <c r="T33" s="556"/>
      <c r="U33" s="556"/>
      <c r="V33" s="350" t="s">
        <v>2</v>
      </c>
      <c r="W33" s="351">
        <v>91999905</v>
      </c>
      <c r="X33" s="352" t="s">
        <v>505</v>
      </c>
      <c r="Y33" s="352" t="s">
        <v>506</v>
      </c>
      <c r="Z33" s="353" t="s">
        <v>535</v>
      </c>
      <c r="AA33" s="354">
        <v>7000000</v>
      </c>
      <c r="AB33" s="352"/>
      <c r="AC33" s="355"/>
    </row>
    <row r="34" spans="1:31">
      <c r="A34" s="554" t="s">
        <v>815</v>
      </c>
      <c r="B34" s="362"/>
      <c r="C34" s="362"/>
      <c r="D34" s="362"/>
      <c r="E34" s="362"/>
      <c r="F34" s="362"/>
      <c r="G34" s="362"/>
      <c r="H34" s="362"/>
      <c r="I34" s="362"/>
      <c r="J34" s="362"/>
      <c r="K34" s="362"/>
      <c r="L34" s="362"/>
      <c r="M34" s="362"/>
      <c r="N34" s="362">
        <f>N36</f>
        <v>8137500</v>
      </c>
      <c r="O34" s="555"/>
      <c r="P34" s="521">
        <f t="shared" si="8"/>
        <v>8137500</v>
      </c>
      <c r="Q34" s="522" t="s">
        <v>523</v>
      </c>
      <c r="R34" s="522" t="s">
        <v>523</v>
      </c>
      <c r="S34" s="556"/>
      <c r="T34" s="556"/>
      <c r="U34" s="556"/>
      <c r="V34" s="350" t="s">
        <v>2</v>
      </c>
      <c r="W34" s="351">
        <v>91999906</v>
      </c>
      <c r="X34" s="352" t="s">
        <v>505</v>
      </c>
      <c r="Y34" s="352" t="s">
        <v>506</v>
      </c>
      <c r="Z34" s="353" t="s">
        <v>535</v>
      </c>
      <c r="AA34" s="354">
        <v>7000000</v>
      </c>
      <c r="AB34" s="352"/>
      <c r="AC34" s="355"/>
    </row>
    <row r="35" spans="1:31">
      <c r="A35" s="554" t="s">
        <v>816</v>
      </c>
      <c r="B35" s="362"/>
      <c r="C35" s="362">
        <f>C36</f>
        <v>14926500</v>
      </c>
      <c r="D35" s="362"/>
      <c r="E35" s="362"/>
      <c r="F35" s="362"/>
      <c r="G35" s="362"/>
      <c r="H35" s="362"/>
      <c r="I35" s="362"/>
      <c r="J35" s="362"/>
      <c r="K35" s="362"/>
      <c r="L35" s="362"/>
      <c r="M35" s="362"/>
      <c r="N35" s="362"/>
      <c r="O35" s="555"/>
      <c r="P35" s="521">
        <f t="shared" si="8"/>
        <v>14926500</v>
      </c>
      <c r="Q35" s="522" t="s">
        <v>523</v>
      </c>
      <c r="R35" s="522"/>
      <c r="S35" s="556"/>
      <c r="T35" s="556"/>
      <c r="U35" s="556"/>
      <c r="V35" s="350" t="s">
        <v>2</v>
      </c>
      <c r="W35" s="351">
        <v>91999907</v>
      </c>
      <c r="X35" s="352" t="s">
        <v>596</v>
      </c>
      <c r="Y35" s="352" t="s">
        <v>506</v>
      </c>
      <c r="Z35" s="353">
        <v>7065</v>
      </c>
      <c r="AA35" s="354">
        <v>100</v>
      </c>
      <c r="AB35" s="438" t="s">
        <v>539</v>
      </c>
      <c r="AC35" s="439"/>
    </row>
    <row r="36" spans="1:31">
      <c r="A36" s="554" t="s">
        <v>814</v>
      </c>
      <c r="B36" s="362"/>
      <c r="C36" s="362">
        <f>ROUND(C98*C67*50%,0)</f>
        <v>14926500</v>
      </c>
      <c r="D36" s="362"/>
      <c r="E36" s="362"/>
      <c r="F36" s="362"/>
      <c r="G36" s="362"/>
      <c r="H36" s="362">
        <f>ROUND(AA48*AB49*50%,0)</f>
        <v>175000000</v>
      </c>
      <c r="I36" s="362"/>
      <c r="J36" s="362"/>
      <c r="K36" s="362"/>
      <c r="L36" s="362"/>
      <c r="M36" s="362"/>
      <c r="N36" s="362">
        <f>ROUND(N97*N67*50%,0)</f>
        <v>8137500</v>
      </c>
      <c r="O36" s="555"/>
      <c r="P36" s="521">
        <f t="shared" si="8"/>
        <v>198064000</v>
      </c>
      <c r="Q36" s="522" t="s">
        <v>523</v>
      </c>
      <c r="R36" s="522"/>
      <c r="S36" s="556"/>
      <c r="T36" s="556"/>
      <c r="U36" s="556"/>
      <c r="V36" s="350" t="s">
        <v>2</v>
      </c>
      <c r="W36" s="351">
        <v>91999908</v>
      </c>
      <c r="X36" s="352" t="s">
        <v>505</v>
      </c>
      <c r="Y36" s="352" t="s">
        <v>506</v>
      </c>
      <c r="Z36" s="353">
        <v>7065</v>
      </c>
      <c r="AA36" s="354">
        <v>100</v>
      </c>
      <c r="AB36" s="438" t="s">
        <v>539</v>
      </c>
      <c r="AC36" s="439"/>
    </row>
    <row r="37" spans="1:31">
      <c r="A37" s="408"/>
      <c r="B37" s="443"/>
      <c r="C37" s="443"/>
      <c r="D37" s="443"/>
      <c r="E37" s="443"/>
      <c r="F37" s="443"/>
      <c r="G37" s="443"/>
      <c r="H37" s="443"/>
      <c r="I37" s="443"/>
      <c r="J37" s="443"/>
      <c r="K37" s="443"/>
      <c r="L37" s="443"/>
      <c r="M37" s="443"/>
      <c r="N37" s="443"/>
      <c r="O37" s="395"/>
      <c r="P37" s="521"/>
      <c r="Q37" s="522"/>
      <c r="R37" s="522"/>
      <c r="S37" s="522"/>
      <c r="T37" s="522"/>
      <c r="U37" s="522"/>
      <c r="V37" s="350" t="s">
        <v>2</v>
      </c>
      <c r="W37" s="351">
        <v>91999907</v>
      </c>
      <c r="X37" s="352" t="s">
        <v>596</v>
      </c>
      <c r="Y37" s="352" t="s">
        <v>506</v>
      </c>
      <c r="Z37" s="353">
        <v>7070</v>
      </c>
      <c r="AA37" s="354">
        <v>200</v>
      </c>
      <c r="AB37" s="438" t="s">
        <v>539</v>
      </c>
      <c r="AC37" s="439"/>
    </row>
    <row r="38" spans="1:31">
      <c r="A38" s="510" t="s">
        <v>569</v>
      </c>
      <c r="B38" s="326"/>
      <c r="C38" s="326"/>
      <c r="D38" s="326"/>
      <c r="E38" s="334"/>
      <c r="F38" s="326"/>
      <c r="G38" s="326"/>
      <c r="H38" s="326"/>
      <c r="I38" s="326"/>
      <c r="J38" s="326"/>
      <c r="K38" s="334"/>
      <c r="L38" s="334"/>
      <c r="M38" s="334"/>
      <c r="N38" s="334"/>
      <c r="O38" s="395"/>
      <c r="P38" s="349"/>
      <c r="Q38" s="522"/>
      <c r="R38" s="522"/>
      <c r="S38" s="522"/>
      <c r="T38" s="522"/>
      <c r="U38" s="522"/>
      <c r="V38" s="350" t="s">
        <v>2</v>
      </c>
      <c r="W38" s="351">
        <v>91999908</v>
      </c>
      <c r="X38" s="352" t="s">
        <v>505</v>
      </c>
      <c r="Y38" s="352" t="s">
        <v>506</v>
      </c>
      <c r="Z38" s="353">
        <v>7070</v>
      </c>
      <c r="AA38" s="354">
        <v>200</v>
      </c>
      <c r="AB38" s="438" t="s">
        <v>539</v>
      </c>
      <c r="AC38" s="439"/>
    </row>
    <row r="39" spans="1:31">
      <c r="A39" s="436" t="s">
        <v>510</v>
      </c>
      <c r="B39" s="326">
        <f t="shared" ref="B39:O39" si="9">IF(OR(B20="A",B20="B"),B89,ROUND(B89*B14%,0))</f>
        <v>657534</v>
      </c>
      <c r="C39" s="326">
        <f t="shared" si="9"/>
        <v>504110</v>
      </c>
      <c r="D39" s="326">
        <f t="shared" si="9"/>
        <v>0</v>
      </c>
      <c r="E39" s="326">
        <f t="shared" si="9"/>
        <v>657534</v>
      </c>
      <c r="F39" s="326">
        <f t="shared" si="9"/>
        <v>657534</v>
      </c>
      <c r="G39" s="326">
        <f t="shared" si="9"/>
        <v>0</v>
      </c>
      <c r="H39" s="326">
        <f t="shared" si="9"/>
        <v>3279</v>
      </c>
      <c r="I39" s="326">
        <f t="shared" si="9"/>
        <v>0</v>
      </c>
      <c r="J39" s="326">
        <f t="shared" si="9"/>
        <v>0</v>
      </c>
      <c r="K39" s="326">
        <f t="shared" si="9"/>
        <v>0</v>
      </c>
      <c r="L39" s="326">
        <f t="shared" si="9"/>
        <v>0</v>
      </c>
      <c r="M39" s="326">
        <f t="shared" si="9"/>
        <v>0</v>
      </c>
      <c r="N39" s="326">
        <f t="shared" si="9"/>
        <v>0</v>
      </c>
      <c r="O39" s="326">
        <f t="shared" si="9"/>
        <v>0</v>
      </c>
      <c r="P39" s="339">
        <f>SUM(B39:O39)</f>
        <v>2479991</v>
      </c>
      <c r="Q39" s="373"/>
      <c r="R39" s="522" t="s">
        <v>523</v>
      </c>
      <c r="S39" s="522"/>
      <c r="T39" s="522"/>
      <c r="U39" s="522"/>
      <c r="V39" s="350" t="s">
        <v>2</v>
      </c>
      <c r="W39" s="351">
        <v>91999901</v>
      </c>
      <c r="X39" s="352" t="s">
        <v>505</v>
      </c>
      <c r="Y39" s="352" t="s">
        <v>506</v>
      </c>
      <c r="Z39" s="353">
        <v>9140</v>
      </c>
      <c r="AA39" s="354"/>
      <c r="AB39" s="438">
        <v>0.76</v>
      </c>
      <c r="AC39" s="439"/>
    </row>
    <row r="40" spans="1:31">
      <c r="A40" s="436" t="s">
        <v>532</v>
      </c>
      <c r="B40" s="326">
        <f t="shared" ref="B40:O40" si="10">IF(OR(B20="A",B20="B"),ROUND(2369796/365*B18,0),ROUND(ROUND(2466.55*$B$4,0)/365*B18,0))*B21*IF(B19&lt;3,0,IF(B19&lt;6,50%,100%))</f>
        <v>194778</v>
      </c>
      <c r="C40" s="326">
        <f t="shared" si="10"/>
        <v>298660</v>
      </c>
      <c r="D40" s="326">
        <f t="shared" si="10"/>
        <v>0</v>
      </c>
      <c r="E40" s="326">
        <f t="shared" si="10"/>
        <v>292167</v>
      </c>
      <c r="F40" s="326">
        <f t="shared" si="10"/>
        <v>0</v>
      </c>
      <c r="G40" s="326">
        <f t="shared" si="10"/>
        <v>0</v>
      </c>
      <c r="H40" s="326">
        <f t="shared" si="10"/>
        <v>9408706</v>
      </c>
      <c r="I40" s="326">
        <f t="shared" si="10"/>
        <v>0</v>
      </c>
      <c r="J40" s="326">
        <f t="shared" si="10"/>
        <v>0</v>
      </c>
      <c r="K40" s="326">
        <f t="shared" si="10"/>
        <v>0</v>
      </c>
      <c r="L40" s="326">
        <f t="shared" si="10"/>
        <v>0</v>
      </c>
      <c r="M40" s="326">
        <f t="shared" si="10"/>
        <v>0</v>
      </c>
      <c r="N40" s="326">
        <f t="shared" si="10"/>
        <v>0</v>
      </c>
      <c r="O40" s="326">
        <f t="shared" si="10"/>
        <v>0</v>
      </c>
      <c r="P40" s="340">
        <f>SUM(B40:O40)</f>
        <v>10194311</v>
      </c>
      <c r="Q40" s="373"/>
      <c r="R40" s="522" t="s">
        <v>523</v>
      </c>
      <c r="S40" s="522"/>
      <c r="T40" s="522"/>
      <c r="U40" s="522"/>
      <c r="V40" s="350" t="s">
        <v>2</v>
      </c>
      <c r="W40" s="351">
        <v>91999907</v>
      </c>
      <c r="X40" s="352" t="s">
        <v>505</v>
      </c>
      <c r="Y40" s="352" t="s">
        <v>506</v>
      </c>
      <c r="Z40" s="353">
        <v>9140</v>
      </c>
      <c r="AA40" s="354"/>
      <c r="AB40" s="438">
        <v>0.56000000000000005</v>
      </c>
      <c r="AC40" s="439"/>
    </row>
    <row r="41" spans="1:31">
      <c r="A41" s="405"/>
      <c r="B41" s="325"/>
      <c r="C41" s="326"/>
      <c r="D41" s="326"/>
      <c r="E41" s="334"/>
      <c r="F41" s="362"/>
      <c r="G41" s="362"/>
      <c r="H41" s="362"/>
      <c r="I41" s="362"/>
      <c r="J41" s="362"/>
      <c r="K41" s="334"/>
      <c r="L41" s="334"/>
      <c r="M41" s="334"/>
      <c r="N41" s="334"/>
      <c r="O41" s="395"/>
      <c r="P41" s="349"/>
      <c r="Q41" s="373"/>
      <c r="R41" s="522"/>
      <c r="S41" s="522"/>
      <c r="T41" s="522"/>
      <c r="U41" s="522"/>
      <c r="V41" s="350" t="s">
        <v>747</v>
      </c>
      <c r="W41" s="351">
        <v>91999905</v>
      </c>
      <c r="X41" s="352" t="s">
        <v>505</v>
      </c>
      <c r="Y41" s="352" t="s">
        <v>506</v>
      </c>
      <c r="Z41" s="353" t="s">
        <v>641</v>
      </c>
      <c r="AA41" s="354"/>
      <c r="AB41" s="438">
        <v>1</v>
      </c>
      <c r="AC41" s="439"/>
    </row>
    <row r="42" spans="1:31">
      <c r="A42" s="441" t="s">
        <v>61</v>
      </c>
      <c r="B42" s="359">
        <f t="shared" ref="B42:O42" si="11">SUM(B26:B37)</f>
        <v>9100000</v>
      </c>
      <c r="C42" s="360" t="e">
        <f t="shared" si="11"/>
        <v>#REF!</v>
      </c>
      <c r="D42" s="360">
        <f t="shared" si="11"/>
        <v>14450000</v>
      </c>
      <c r="E42" s="360">
        <f t="shared" si="11"/>
        <v>11000000</v>
      </c>
      <c r="F42" s="360">
        <f t="shared" si="11"/>
        <v>16000000</v>
      </c>
      <c r="G42" s="360">
        <f t="shared" si="11"/>
        <v>29006250</v>
      </c>
      <c r="H42" s="360" t="e">
        <f t="shared" si="11"/>
        <v>#REF!</v>
      </c>
      <c r="I42" s="360">
        <f t="shared" si="11"/>
        <v>90499500</v>
      </c>
      <c r="J42" s="360">
        <f t="shared" si="11"/>
        <v>71500000</v>
      </c>
      <c r="K42" s="360">
        <f t="shared" si="11"/>
        <v>13000000</v>
      </c>
      <c r="L42" s="360">
        <f t="shared" si="11"/>
        <v>11500000</v>
      </c>
      <c r="M42" s="360">
        <f t="shared" si="11"/>
        <v>12923100</v>
      </c>
      <c r="N42" s="480" t="e">
        <f t="shared" si="11"/>
        <v>#REF!</v>
      </c>
      <c r="O42" s="481">
        <f t="shared" si="11"/>
        <v>4500000</v>
      </c>
      <c r="P42" s="349" t="e">
        <f>SUM(B42:O42)</f>
        <v>#REF!</v>
      </c>
      <c r="Q42" s="522"/>
      <c r="R42" s="373"/>
      <c r="S42" s="373"/>
      <c r="T42" s="373"/>
      <c r="U42" s="373"/>
      <c r="V42" s="42"/>
      <c r="W42" s="43"/>
      <c r="X42" s="13"/>
      <c r="Y42" s="13"/>
      <c r="Z42" s="61"/>
      <c r="AA42" s="356"/>
      <c r="AB42" s="13"/>
      <c r="AC42" s="18"/>
    </row>
    <row r="43" spans="1:31">
      <c r="A43" s="411"/>
      <c r="B43" s="325"/>
      <c r="C43" s="326"/>
      <c r="D43" s="326"/>
      <c r="E43" s="334"/>
      <c r="F43" s="326"/>
      <c r="G43" s="326"/>
      <c r="H43" s="326"/>
      <c r="I43" s="326"/>
      <c r="J43" s="326"/>
      <c r="K43" s="334"/>
      <c r="L43" s="334"/>
      <c r="M43" s="334"/>
      <c r="N43" s="334"/>
      <c r="O43" s="395"/>
      <c r="P43" s="349"/>
      <c r="Q43" s="373"/>
      <c r="R43" s="373"/>
      <c r="S43" s="373"/>
      <c r="T43" s="373"/>
      <c r="U43" s="373"/>
      <c r="V43" s="42"/>
      <c r="W43" s="43"/>
      <c r="X43" s="13"/>
      <c r="Y43" s="13"/>
      <c r="Z43" s="61"/>
      <c r="AA43" s="356"/>
      <c r="AB43" s="13"/>
      <c r="AC43" s="18"/>
    </row>
    <row r="44" spans="1:31" ht="15.6">
      <c r="A44" s="412" t="s">
        <v>60</v>
      </c>
      <c r="B44" s="363"/>
      <c r="C44" s="356"/>
      <c r="D44" s="356"/>
      <c r="E44" s="364"/>
      <c r="F44" s="356"/>
      <c r="G44" s="356"/>
      <c r="H44" s="356"/>
      <c r="I44" s="356"/>
      <c r="J44" s="356"/>
      <c r="K44" s="364"/>
      <c r="L44" s="364"/>
      <c r="M44" s="364"/>
      <c r="N44" s="364"/>
      <c r="O44" s="377"/>
      <c r="P44" s="349"/>
      <c r="Q44" s="373"/>
      <c r="R44" s="373"/>
      <c r="S44" s="373"/>
      <c r="T44" s="373"/>
      <c r="U44" s="373"/>
      <c r="V44" s="42"/>
      <c r="W44" s="43"/>
      <c r="X44" s="13"/>
      <c r="Y44" s="13"/>
      <c r="Z44" s="61"/>
      <c r="AA44" s="356"/>
      <c r="AB44" s="13"/>
      <c r="AC44" s="18"/>
    </row>
    <row r="45" spans="1:31">
      <c r="A45" s="407" t="s">
        <v>55</v>
      </c>
      <c r="B45" s="363"/>
      <c r="C45" s="356"/>
      <c r="D45" s="356"/>
      <c r="E45" s="364"/>
      <c r="F45" s="356"/>
      <c r="G45" s="356"/>
      <c r="H45" s="356"/>
      <c r="I45" s="356"/>
      <c r="J45" s="356"/>
      <c r="K45" s="364"/>
      <c r="L45" s="364"/>
      <c r="M45" s="364"/>
      <c r="N45" s="364"/>
      <c r="O45" s="377"/>
      <c r="P45" s="349"/>
      <c r="Q45" s="373"/>
      <c r="R45" s="373"/>
      <c r="S45" s="373"/>
      <c r="T45" s="373"/>
      <c r="U45" s="373"/>
      <c r="V45" s="24" t="s">
        <v>57</v>
      </c>
      <c r="W45" s="37" t="s">
        <v>67</v>
      </c>
      <c r="X45" s="37" t="s">
        <v>69</v>
      </c>
      <c r="Y45" s="37" t="s">
        <v>70</v>
      </c>
      <c r="Z45" s="62" t="s">
        <v>56</v>
      </c>
      <c r="AA45" s="357" t="s">
        <v>54</v>
      </c>
      <c r="AB45" s="37" t="s">
        <v>58</v>
      </c>
      <c r="AC45" s="38" t="s">
        <v>59</v>
      </c>
      <c r="AD45" s="287"/>
      <c r="AE45" s="287"/>
    </row>
    <row r="46" spans="1:31">
      <c r="A46" s="417" t="s">
        <v>573</v>
      </c>
      <c r="B46" s="326">
        <f>ROUND(MIN(B$96,29800000)*'New Hire'!C54,0)</f>
        <v>728000</v>
      </c>
      <c r="C46" s="326">
        <f>ROUND(MIN(C$96,29800000)*'New Hire'!D54,0)</f>
        <v>644800</v>
      </c>
      <c r="D46" s="326">
        <f>ROUND(MIN(D$96,29800000)*'New Hire'!E54,0)</f>
        <v>0</v>
      </c>
      <c r="E46" s="326">
        <f>ROUND(MIN(E$96,29800000)*'New Hire'!F54,0)</f>
        <v>880000</v>
      </c>
      <c r="F46" s="326">
        <f>ROUND(MIN(F$96,29800000)*'New Hire'!G54,0)</f>
        <v>0</v>
      </c>
      <c r="G46" s="326">
        <f>ROUND(MIN(G$96,29800000)*'New Hire'!H54,0)</f>
        <v>0</v>
      </c>
      <c r="H46" s="326">
        <f>ROUND(MIN(H$96,29800000)*'New Hire'!I54,0)</f>
        <v>0</v>
      </c>
      <c r="I46" s="326">
        <f>ROUND(MIN(I$96,29800000)*'New Hire'!J54,0)</f>
        <v>0</v>
      </c>
      <c r="J46" s="326">
        <f>ROUND(MIN(J$96,29800000)*'New Hire'!K54,0)</f>
        <v>2384000</v>
      </c>
      <c r="K46" s="326">
        <f>ROUND(MIN(K$96,29800000)*'New Hire'!L54,0)</f>
        <v>0</v>
      </c>
      <c r="L46" s="326">
        <f>ROUND(MIN(L$96,29800000)*'New Hire'!M54,0)</f>
        <v>920000</v>
      </c>
      <c r="M46" s="326">
        <f>ROUND(MIN(M$96,29800000)*'New Hire'!N54,0)</f>
        <v>0</v>
      </c>
      <c r="N46" s="326">
        <f>ROUND(MIN(N$96,29800000)*'New Hire'!O54,0)</f>
        <v>0</v>
      </c>
      <c r="O46" s="326">
        <f>ROUND(MIN(O$96,29800000)*'New Hire'!P54,0)</f>
        <v>0</v>
      </c>
      <c r="P46" s="349">
        <f t="shared" ref="P46:P53" si="12">SUM(B46:O46)</f>
        <v>5556800</v>
      </c>
      <c r="Q46" s="373"/>
      <c r="R46" s="373"/>
      <c r="S46" s="373"/>
      <c r="T46" s="373"/>
      <c r="U46" s="373"/>
      <c r="V46" s="505" t="s">
        <v>806</v>
      </c>
      <c r="W46" s="506">
        <v>91999902</v>
      </c>
      <c r="X46" s="507" t="s">
        <v>817</v>
      </c>
      <c r="Y46" s="507" t="s">
        <v>817</v>
      </c>
      <c r="Z46" s="544">
        <v>5080</v>
      </c>
      <c r="AA46" s="362"/>
      <c r="AB46" s="545">
        <v>1</v>
      </c>
      <c r="AC46" s="546"/>
      <c r="AD46" s="287"/>
      <c r="AE46" s="287"/>
    </row>
    <row r="47" spans="1:31">
      <c r="A47" s="436" t="s">
        <v>574</v>
      </c>
      <c r="B47" s="326">
        <f>ROUND(MIN(B$96,83600000)*'New Hire'!C57,0)</f>
        <v>91000</v>
      </c>
      <c r="C47" s="326">
        <f>ROUND(MIN(C$96,83600000)*'New Hire'!D57,0)</f>
        <v>80600</v>
      </c>
      <c r="D47" s="326">
        <f>ROUND(MIN(D$96,83600000)*'New Hire'!E57,0)</f>
        <v>144500</v>
      </c>
      <c r="E47" s="326">
        <f>ROUND(MIN(E$96,83600000)*'New Hire'!F57,0)</f>
        <v>110000</v>
      </c>
      <c r="F47" s="326">
        <f>ROUND(MIN(F$96,83600000)*'New Hire'!G57,0)</f>
        <v>0</v>
      </c>
      <c r="G47" s="326">
        <f>ROUND(MIN(G$96,83600000)*'New Hire'!H57,0)</f>
        <v>0</v>
      </c>
      <c r="H47" s="326">
        <f>ROUND(MIN(H$96,83600000)*'New Hire'!I57,0)</f>
        <v>0</v>
      </c>
      <c r="I47" s="326">
        <f>ROUND(MIN(I$96,83600000)*'New Hire'!J57,0)</f>
        <v>0</v>
      </c>
      <c r="J47" s="326">
        <f>ROUND(MIN(J$96,83600000)*'New Hire'!K57,0)</f>
        <v>715000</v>
      </c>
      <c r="K47" s="326">
        <f>ROUND(MIN(K$96,83600000)*'New Hire'!L57,0)</f>
        <v>0</v>
      </c>
      <c r="L47" s="326">
        <f>ROUND(MIN(L$96,83600000)*'New Hire'!M57,0)</f>
        <v>115000</v>
      </c>
      <c r="M47" s="326">
        <f>ROUND(MIN(M$96,83600000)*'New Hire'!N57,0)</f>
        <v>0</v>
      </c>
      <c r="N47" s="326">
        <f>ROUND(MIN(N$96,83600000)*'New Hire'!O57,0)</f>
        <v>0</v>
      </c>
      <c r="O47" s="326">
        <f>ROUND(MIN(O$96,83600000)*'New Hire'!P57,0)</f>
        <v>0</v>
      </c>
      <c r="P47" s="349">
        <f t="shared" si="12"/>
        <v>1256100</v>
      </c>
      <c r="Q47" s="373"/>
      <c r="R47" s="373"/>
      <c r="S47" s="373"/>
      <c r="T47" s="373"/>
      <c r="U47" s="373"/>
      <c r="V47" s="505" t="s">
        <v>806</v>
      </c>
      <c r="W47" s="506">
        <v>91999907</v>
      </c>
      <c r="X47" s="507" t="s">
        <v>817</v>
      </c>
      <c r="Y47" s="507" t="s">
        <v>817</v>
      </c>
      <c r="Z47" s="544">
        <v>5080</v>
      </c>
      <c r="AA47" s="362"/>
      <c r="AB47" s="545">
        <v>99</v>
      </c>
      <c r="AC47" s="546"/>
      <c r="AD47" s="287"/>
      <c r="AE47" s="287"/>
    </row>
    <row r="48" spans="1:31">
      <c r="A48" s="436" t="s">
        <v>575</v>
      </c>
      <c r="B48" s="326">
        <f>ROUND(MIN(B$96,29800000)*'New Hire'!C60,0)</f>
        <v>136500</v>
      </c>
      <c r="C48" s="326">
        <f>ROUND(MIN(C$96,29800000)*'New Hire'!D60,0)</f>
        <v>120900</v>
      </c>
      <c r="D48" s="326">
        <f>ROUND(MIN(D$96,29800000)*'New Hire'!E60,0)</f>
        <v>216750</v>
      </c>
      <c r="E48" s="326">
        <f>ROUND(MIN(E$96,29800000)*'New Hire'!F60,0)</f>
        <v>165000</v>
      </c>
      <c r="F48" s="326">
        <f>ROUND(MIN(F$96,29800000)*'New Hire'!G60,0)</f>
        <v>0</v>
      </c>
      <c r="G48" s="326">
        <f>ROUND(MIN(G$96,29800000)*'New Hire'!H60,0)</f>
        <v>0</v>
      </c>
      <c r="H48" s="326">
        <f>ROUND(MIN(H$96,29800000)*'New Hire'!I60,0)</f>
        <v>447000</v>
      </c>
      <c r="I48" s="326">
        <f>ROUND(MIN(I$96,29800000)*'New Hire'!J60,0)</f>
        <v>447000</v>
      </c>
      <c r="J48" s="326">
        <f>ROUND(MIN(J$96,29800000)*'New Hire'!K60,0)</f>
        <v>447000</v>
      </c>
      <c r="K48" s="326">
        <f>ROUND(MIN(K$96,29800000)*'New Hire'!L60,0)</f>
        <v>0</v>
      </c>
      <c r="L48" s="326">
        <f>ROUND(MIN(L$96,29800000)*'New Hire'!M60,0)</f>
        <v>172500</v>
      </c>
      <c r="M48" s="326">
        <f>ROUND(MIN(M$96,29800000)*'New Hire'!N60,0)</f>
        <v>0</v>
      </c>
      <c r="N48" s="326">
        <f>ROUND(MIN(N$96,29800000)*'New Hire'!O60,0)</f>
        <v>0</v>
      </c>
      <c r="O48" s="326">
        <f>ROUND(MIN(O$96,29800000)*'New Hire'!P60,0)</f>
        <v>0</v>
      </c>
      <c r="P48" s="349">
        <f t="shared" si="12"/>
        <v>2152650</v>
      </c>
      <c r="Q48" s="373"/>
      <c r="R48" s="373"/>
      <c r="S48" s="373"/>
      <c r="T48" s="373"/>
      <c r="U48" s="373"/>
      <c r="V48" s="505" t="s">
        <v>806</v>
      </c>
      <c r="W48" s="506">
        <v>91999907</v>
      </c>
      <c r="X48" s="507" t="s">
        <v>817</v>
      </c>
      <c r="Y48" s="507" t="s">
        <v>817</v>
      </c>
      <c r="Z48" s="544">
        <v>9032</v>
      </c>
      <c r="AA48" s="362">
        <v>100000000</v>
      </c>
      <c r="AB48" s="545"/>
      <c r="AC48" s="546"/>
      <c r="AD48" s="287"/>
      <c r="AE48" s="287"/>
    </row>
    <row r="49" spans="1:31">
      <c r="A49" s="405" t="s">
        <v>111</v>
      </c>
      <c r="B49" s="325">
        <f t="shared" ref="B49:O49" si="13">B103</f>
        <v>0</v>
      </c>
      <c r="C49" s="326" t="e">
        <f t="shared" si="13"/>
        <v>#REF!</v>
      </c>
      <c r="D49" s="326">
        <f t="shared" si="13"/>
        <v>258875</v>
      </c>
      <c r="E49" s="326">
        <f t="shared" si="13"/>
        <v>1194970</v>
      </c>
      <c r="F49" s="326">
        <f t="shared" si="13"/>
        <v>1665753</v>
      </c>
      <c r="G49" s="326">
        <f t="shared" si="13"/>
        <v>2351250</v>
      </c>
      <c r="H49" s="326" t="e">
        <f t="shared" si="13"/>
        <v>#REF!</v>
      </c>
      <c r="I49" s="326">
        <f t="shared" si="13"/>
        <v>18099900</v>
      </c>
      <c r="J49" s="326">
        <f t="shared" si="13"/>
        <v>11836200</v>
      </c>
      <c r="K49" s="326">
        <f t="shared" si="13"/>
        <v>200000</v>
      </c>
      <c r="L49" s="326">
        <f t="shared" si="13"/>
        <v>64625</v>
      </c>
      <c r="M49" s="326">
        <f t="shared" si="13"/>
        <v>135578</v>
      </c>
      <c r="N49" s="326" t="e">
        <f t="shared" si="13"/>
        <v>#REF!</v>
      </c>
      <c r="O49" s="394">
        <f t="shared" si="13"/>
        <v>450000</v>
      </c>
      <c r="P49" s="349" t="e">
        <f t="shared" si="12"/>
        <v>#REF!</v>
      </c>
      <c r="Q49" s="373"/>
      <c r="R49" s="373"/>
      <c r="S49" s="373"/>
      <c r="T49" s="373"/>
      <c r="U49" s="373"/>
      <c r="V49" s="505" t="s">
        <v>673</v>
      </c>
      <c r="W49" s="506">
        <v>91999907</v>
      </c>
      <c r="X49" s="507" t="s">
        <v>817</v>
      </c>
      <c r="Y49" s="507" t="s">
        <v>817</v>
      </c>
      <c r="Z49" s="544">
        <v>9034</v>
      </c>
      <c r="AA49" s="362"/>
      <c r="AB49" s="545">
        <v>3.5</v>
      </c>
      <c r="AC49" s="546"/>
      <c r="AD49" s="287"/>
      <c r="AE49" s="287"/>
    </row>
    <row r="50" spans="1:31">
      <c r="A50" s="436" t="s">
        <v>512</v>
      </c>
      <c r="B50" s="326">
        <f t="shared" ref="B50:O50" si="14">B89-B39</f>
        <v>0</v>
      </c>
      <c r="C50" s="326">
        <f t="shared" si="14"/>
        <v>0</v>
      </c>
      <c r="D50" s="326">
        <f t="shared" si="14"/>
        <v>0</v>
      </c>
      <c r="E50" s="326">
        <f t="shared" si="14"/>
        <v>0</v>
      </c>
      <c r="F50" s="326">
        <f t="shared" si="14"/>
        <v>0</v>
      </c>
      <c r="G50" s="326">
        <f t="shared" si="14"/>
        <v>0</v>
      </c>
      <c r="H50" s="326">
        <f t="shared" si="14"/>
        <v>652459</v>
      </c>
      <c r="I50" s="326">
        <f t="shared" si="14"/>
        <v>0</v>
      </c>
      <c r="J50" s="326">
        <f t="shared" si="14"/>
        <v>0</v>
      </c>
      <c r="K50" s="326">
        <f t="shared" si="14"/>
        <v>0</v>
      </c>
      <c r="L50" s="326">
        <f t="shared" si="14"/>
        <v>0</v>
      </c>
      <c r="M50" s="326">
        <f t="shared" si="14"/>
        <v>0</v>
      </c>
      <c r="N50" s="326">
        <f t="shared" si="14"/>
        <v>0</v>
      </c>
      <c r="O50" s="326">
        <f t="shared" si="14"/>
        <v>0</v>
      </c>
      <c r="P50" s="349">
        <f t="shared" si="12"/>
        <v>652459</v>
      </c>
      <c r="Q50" s="373"/>
      <c r="R50" s="373"/>
      <c r="S50" s="373"/>
      <c r="T50" s="373"/>
      <c r="U50" s="373"/>
      <c r="V50" s="505" t="s">
        <v>673</v>
      </c>
      <c r="W50" s="506">
        <v>91999913</v>
      </c>
      <c r="X50" s="507" t="s">
        <v>817</v>
      </c>
      <c r="Y50" s="507" t="s">
        <v>817</v>
      </c>
      <c r="Z50" s="544">
        <v>5080</v>
      </c>
      <c r="AA50" s="362"/>
      <c r="AB50" s="545">
        <v>2</v>
      </c>
      <c r="AC50" s="546"/>
      <c r="AD50" s="287"/>
      <c r="AE50" s="287"/>
    </row>
    <row r="51" spans="1:31">
      <c r="A51" s="436" t="s">
        <v>533</v>
      </c>
      <c r="B51" s="326">
        <f>B40</f>
        <v>194778</v>
      </c>
      <c r="C51" s="326">
        <f t="shared" ref="C51:O51" si="15">C40</f>
        <v>298660</v>
      </c>
      <c r="D51" s="326">
        <f t="shared" si="15"/>
        <v>0</v>
      </c>
      <c r="E51" s="326">
        <f t="shared" si="15"/>
        <v>292167</v>
      </c>
      <c r="F51" s="326">
        <f t="shared" si="15"/>
        <v>0</v>
      </c>
      <c r="G51" s="326">
        <f t="shared" si="15"/>
        <v>0</v>
      </c>
      <c r="H51" s="326">
        <f t="shared" si="15"/>
        <v>9408706</v>
      </c>
      <c r="I51" s="326">
        <f t="shared" si="15"/>
        <v>0</v>
      </c>
      <c r="J51" s="326">
        <f t="shared" si="15"/>
        <v>0</v>
      </c>
      <c r="K51" s="326">
        <f t="shared" si="15"/>
        <v>0</v>
      </c>
      <c r="L51" s="326">
        <f t="shared" si="15"/>
        <v>0</v>
      </c>
      <c r="M51" s="326">
        <f t="shared" si="15"/>
        <v>0</v>
      </c>
      <c r="N51" s="326">
        <f t="shared" si="15"/>
        <v>0</v>
      </c>
      <c r="O51" s="326">
        <f t="shared" si="15"/>
        <v>0</v>
      </c>
      <c r="P51" s="340">
        <f t="shared" si="12"/>
        <v>10194311</v>
      </c>
      <c r="Q51" s="373"/>
      <c r="R51" s="373"/>
      <c r="S51" s="373"/>
      <c r="T51" s="373"/>
      <c r="U51" s="373"/>
      <c r="V51" s="505" t="s">
        <v>819</v>
      </c>
      <c r="W51" s="506">
        <v>91999902</v>
      </c>
      <c r="X51" s="507" t="s">
        <v>817</v>
      </c>
      <c r="Y51" s="507" t="s">
        <v>817</v>
      </c>
      <c r="Z51" s="544">
        <v>5050</v>
      </c>
      <c r="AA51" s="362"/>
      <c r="AB51" s="545"/>
      <c r="AC51" s="546"/>
      <c r="AE51" s="287"/>
    </row>
    <row r="52" spans="1:31">
      <c r="A52" s="436" t="s">
        <v>536</v>
      </c>
      <c r="B52" s="326">
        <f>B90</f>
        <v>575342</v>
      </c>
      <c r="C52" s="326">
        <f t="shared" ref="C52:O52" si="16">C90</f>
        <v>441096</v>
      </c>
      <c r="D52" s="326">
        <f t="shared" si="16"/>
        <v>0</v>
      </c>
      <c r="E52" s="326">
        <f t="shared" si="16"/>
        <v>575342</v>
      </c>
      <c r="F52" s="326">
        <f t="shared" si="16"/>
        <v>575342</v>
      </c>
      <c r="G52" s="326">
        <f t="shared" si="16"/>
        <v>0</v>
      </c>
      <c r="H52" s="326">
        <f t="shared" si="16"/>
        <v>575342</v>
      </c>
      <c r="I52" s="326">
        <f t="shared" si="16"/>
        <v>0</v>
      </c>
      <c r="J52" s="326">
        <f t="shared" si="16"/>
        <v>0</v>
      </c>
      <c r="K52" s="326">
        <f t="shared" si="16"/>
        <v>0</v>
      </c>
      <c r="L52" s="326">
        <f t="shared" si="16"/>
        <v>0</v>
      </c>
      <c r="M52" s="326">
        <f t="shared" si="16"/>
        <v>0</v>
      </c>
      <c r="N52" s="326">
        <f t="shared" si="16"/>
        <v>0</v>
      </c>
      <c r="O52" s="326">
        <f t="shared" si="16"/>
        <v>0</v>
      </c>
      <c r="P52" s="349">
        <f t="shared" si="12"/>
        <v>2742464</v>
      </c>
      <c r="Q52" s="373"/>
      <c r="R52" s="373"/>
      <c r="S52" s="341"/>
      <c r="T52" s="341"/>
      <c r="U52" s="341"/>
      <c r="V52" s="505" t="s">
        <v>819</v>
      </c>
      <c r="W52" s="506">
        <v>91999902</v>
      </c>
      <c r="X52" s="507" t="s">
        <v>817</v>
      </c>
      <c r="Y52" s="507" t="s">
        <v>817</v>
      </c>
      <c r="Z52" s="544">
        <v>5060</v>
      </c>
      <c r="AA52" s="362"/>
      <c r="AB52" s="545"/>
      <c r="AC52" s="546"/>
      <c r="AE52" s="287"/>
    </row>
    <row r="53" spans="1:31">
      <c r="A53" s="436" t="s">
        <v>537</v>
      </c>
      <c r="B53" s="326">
        <f>IF(OR(B20="A",B20="B"),0,ROUND(ROUND(297.1*$B$4,0)/365*B18,0))*B21</f>
        <v>0</v>
      </c>
      <c r="C53" s="326">
        <f t="shared" ref="C53:O53" si="17">IF(OR(C20="A",C20="B"),0,ROUND(ROUND(297.1*$B$4,0)/365*C18,0))*C21</f>
        <v>0</v>
      </c>
      <c r="D53" s="326">
        <f t="shared" si="17"/>
        <v>0</v>
      </c>
      <c r="E53" s="326">
        <f t="shared" si="17"/>
        <v>0</v>
      </c>
      <c r="F53" s="326">
        <f t="shared" si="17"/>
        <v>0</v>
      </c>
      <c r="G53" s="326">
        <f t="shared" si="17"/>
        <v>0</v>
      </c>
      <c r="H53" s="326">
        <f t="shared" si="17"/>
        <v>1133294</v>
      </c>
      <c r="I53" s="326">
        <f t="shared" si="17"/>
        <v>0</v>
      </c>
      <c r="J53" s="326">
        <f t="shared" si="17"/>
        <v>0</v>
      </c>
      <c r="K53" s="326">
        <f t="shared" si="17"/>
        <v>0</v>
      </c>
      <c r="L53" s="326">
        <f t="shared" si="17"/>
        <v>0</v>
      </c>
      <c r="M53" s="326">
        <f t="shared" si="17"/>
        <v>0</v>
      </c>
      <c r="N53" s="326">
        <f t="shared" si="17"/>
        <v>0</v>
      </c>
      <c r="O53" s="326">
        <f t="shared" si="17"/>
        <v>0</v>
      </c>
      <c r="P53" s="340">
        <f t="shared" si="12"/>
        <v>1133294</v>
      </c>
      <c r="R53" s="341"/>
      <c r="S53" s="341"/>
      <c r="T53" s="341"/>
      <c r="U53" s="341"/>
      <c r="V53" s="505" t="s">
        <v>819</v>
      </c>
      <c r="W53" s="506">
        <v>91999902</v>
      </c>
      <c r="X53" s="507" t="s">
        <v>817</v>
      </c>
      <c r="Y53" s="507" t="s">
        <v>817</v>
      </c>
      <c r="Z53" s="544">
        <v>5070</v>
      </c>
      <c r="AA53" s="362"/>
      <c r="AB53" s="545"/>
      <c r="AC53" s="546"/>
      <c r="AE53" s="287"/>
    </row>
    <row r="54" spans="1:31">
      <c r="A54" s="405"/>
      <c r="B54" s="365"/>
      <c r="C54" s="366"/>
      <c r="D54" s="366"/>
      <c r="E54" s="367"/>
      <c r="F54" s="366"/>
      <c r="G54" s="366"/>
      <c r="H54" s="366"/>
      <c r="I54" s="366"/>
      <c r="J54" s="366"/>
      <c r="K54" s="367"/>
      <c r="L54" s="367"/>
      <c r="M54" s="367"/>
      <c r="N54" s="367"/>
      <c r="O54" s="397"/>
      <c r="P54" s="349"/>
      <c r="Q54" s="373"/>
      <c r="R54" s="373"/>
      <c r="S54" s="373"/>
      <c r="T54" s="373"/>
      <c r="U54" s="373"/>
      <c r="V54" s="505" t="s">
        <v>819</v>
      </c>
      <c r="W54" s="506">
        <v>91999907</v>
      </c>
      <c r="X54" s="507" t="s">
        <v>817</v>
      </c>
      <c r="Y54" s="507" t="s">
        <v>817</v>
      </c>
      <c r="Z54" s="544">
        <v>5050</v>
      </c>
      <c r="AA54" s="362"/>
      <c r="AB54" s="545"/>
      <c r="AC54" s="546"/>
      <c r="AE54" s="287"/>
    </row>
    <row r="55" spans="1:31">
      <c r="A55" s="413" t="s">
        <v>4</v>
      </c>
      <c r="B55" s="359">
        <f t="shared" ref="B55:O55" si="18">SUM(B46:B54)</f>
        <v>1725620</v>
      </c>
      <c r="C55" s="360" t="e">
        <f t="shared" si="18"/>
        <v>#REF!</v>
      </c>
      <c r="D55" s="360">
        <f t="shared" si="18"/>
        <v>620125</v>
      </c>
      <c r="E55" s="360">
        <f t="shared" si="18"/>
        <v>3217479</v>
      </c>
      <c r="F55" s="360">
        <f t="shared" si="18"/>
        <v>2241095</v>
      </c>
      <c r="G55" s="360">
        <f t="shared" si="18"/>
        <v>2351250</v>
      </c>
      <c r="H55" s="360" t="e">
        <f t="shared" si="18"/>
        <v>#REF!</v>
      </c>
      <c r="I55" s="360">
        <f t="shared" si="18"/>
        <v>18546900</v>
      </c>
      <c r="J55" s="360">
        <f t="shared" si="18"/>
        <v>15382200</v>
      </c>
      <c r="K55" s="360">
        <f t="shared" si="18"/>
        <v>200000</v>
      </c>
      <c r="L55" s="360">
        <f t="shared" si="18"/>
        <v>1272125</v>
      </c>
      <c r="M55" s="360">
        <f t="shared" si="18"/>
        <v>135578</v>
      </c>
      <c r="N55" s="480" t="e">
        <f t="shared" si="18"/>
        <v>#REF!</v>
      </c>
      <c r="O55" s="481">
        <f t="shared" si="18"/>
        <v>450000</v>
      </c>
      <c r="P55" s="349" t="e">
        <f>SUM(B55:O55)</f>
        <v>#REF!</v>
      </c>
      <c r="Q55" s="373"/>
      <c r="R55" s="373"/>
      <c r="S55" s="373"/>
      <c r="T55" s="373"/>
      <c r="U55" s="373"/>
      <c r="V55" s="505" t="s">
        <v>673</v>
      </c>
      <c r="W55" s="506">
        <v>91999907</v>
      </c>
      <c r="X55" s="507" t="s">
        <v>817</v>
      </c>
      <c r="Y55" s="507" t="s">
        <v>817</v>
      </c>
      <c r="Z55" s="544">
        <v>5060</v>
      </c>
      <c r="AA55" s="362"/>
      <c r="AB55" s="545"/>
      <c r="AC55" s="546"/>
      <c r="AE55" s="287"/>
    </row>
    <row r="56" spans="1:31">
      <c r="A56" s="414"/>
      <c r="B56" s="325"/>
      <c r="C56" s="326"/>
      <c r="D56" s="326"/>
      <c r="E56" s="334"/>
      <c r="F56" s="326"/>
      <c r="G56" s="326"/>
      <c r="H56" s="326"/>
      <c r="I56" s="326"/>
      <c r="J56" s="326"/>
      <c r="K56" s="334"/>
      <c r="L56" s="334"/>
      <c r="M56" s="334"/>
      <c r="N56" s="334"/>
      <c r="O56" s="395"/>
      <c r="P56" s="349"/>
      <c r="Q56" s="373"/>
      <c r="R56" s="373"/>
      <c r="S56" s="373"/>
      <c r="T56" s="373"/>
      <c r="U56" s="373"/>
      <c r="V56" s="505" t="s">
        <v>673</v>
      </c>
      <c r="W56" s="506">
        <v>91999913</v>
      </c>
      <c r="X56" s="507" t="s">
        <v>817</v>
      </c>
      <c r="Y56" s="507" t="s">
        <v>817</v>
      </c>
      <c r="Z56" s="544">
        <v>5050</v>
      </c>
      <c r="AA56" s="362"/>
      <c r="AB56" s="545"/>
      <c r="AC56" s="546"/>
      <c r="AE56" s="287"/>
    </row>
    <row r="57" spans="1:31" ht="14.4" thickBot="1">
      <c r="A57" s="410" t="s">
        <v>5</v>
      </c>
      <c r="B57" s="327">
        <f t="shared" ref="B57:O57" si="19">B42-B55</f>
        <v>7374380</v>
      </c>
      <c r="C57" s="328" t="e">
        <f t="shared" si="19"/>
        <v>#REF!</v>
      </c>
      <c r="D57" s="328">
        <f t="shared" si="19"/>
        <v>13829875</v>
      </c>
      <c r="E57" s="328">
        <f t="shared" si="19"/>
        <v>7782521</v>
      </c>
      <c r="F57" s="328">
        <f t="shared" si="19"/>
        <v>13758905</v>
      </c>
      <c r="G57" s="328">
        <f t="shared" si="19"/>
        <v>26655000</v>
      </c>
      <c r="H57" s="328" t="e">
        <f t="shared" si="19"/>
        <v>#REF!</v>
      </c>
      <c r="I57" s="328">
        <f t="shared" si="19"/>
        <v>71952600</v>
      </c>
      <c r="J57" s="328">
        <f t="shared" si="19"/>
        <v>56117800</v>
      </c>
      <c r="K57" s="328">
        <f t="shared" si="19"/>
        <v>12800000</v>
      </c>
      <c r="L57" s="328">
        <f t="shared" si="19"/>
        <v>10227875</v>
      </c>
      <c r="M57" s="328">
        <f t="shared" si="19"/>
        <v>12787522</v>
      </c>
      <c r="N57" s="328" t="e">
        <f t="shared" si="19"/>
        <v>#REF!</v>
      </c>
      <c r="O57" s="398">
        <f t="shared" si="19"/>
        <v>4050000</v>
      </c>
      <c r="P57" s="349" t="e">
        <f>SUM(B57:O57)</f>
        <v>#REF!</v>
      </c>
      <c r="Q57" s="373"/>
      <c r="R57" s="373"/>
      <c r="S57" s="373"/>
      <c r="T57" s="373"/>
      <c r="U57" s="373"/>
      <c r="V57" s="505" t="s">
        <v>673</v>
      </c>
      <c r="W57" s="506">
        <v>91999913</v>
      </c>
      <c r="X57" s="507" t="s">
        <v>817</v>
      </c>
      <c r="Y57" s="507" t="s">
        <v>817</v>
      </c>
      <c r="Z57" s="544">
        <v>5060</v>
      </c>
      <c r="AA57" s="362"/>
      <c r="AB57" s="545"/>
      <c r="AC57" s="546"/>
      <c r="AD57" s="287"/>
      <c r="AE57" s="287"/>
    </row>
    <row r="58" spans="1:31" ht="14.4" thickTop="1">
      <c r="A58" s="415"/>
      <c r="B58" s="325"/>
      <c r="C58" s="326"/>
      <c r="D58" s="326"/>
      <c r="E58" s="334"/>
      <c r="F58" s="326"/>
      <c r="G58" s="326"/>
      <c r="H58" s="326"/>
      <c r="I58" s="326"/>
      <c r="J58" s="326"/>
      <c r="K58" s="334"/>
      <c r="L58" s="334"/>
      <c r="M58" s="334"/>
      <c r="N58" s="334"/>
      <c r="O58" s="395"/>
      <c r="P58" s="349"/>
      <c r="Q58" s="341"/>
      <c r="R58" s="341"/>
      <c r="S58" s="341"/>
      <c r="T58" s="341"/>
      <c r="U58" s="341"/>
      <c r="V58" s="42"/>
      <c r="W58" s="43"/>
      <c r="X58" s="13"/>
      <c r="Y58" s="13"/>
      <c r="Z58" s="61"/>
      <c r="AA58" s="356"/>
      <c r="AB58" s="13"/>
      <c r="AC58" s="18"/>
      <c r="AD58" s="287"/>
      <c r="AE58" s="287"/>
    </row>
    <row r="59" spans="1:31" ht="15.6">
      <c r="A59" s="404" t="s">
        <v>62</v>
      </c>
      <c r="B59" s="368"/>
      <c r="C59" s="399"/>
      <c r="D59" s="399"/>
      <c r="E59" s="364"/>
      <c r="F59" s="399"/>
      <c r="G59" s="399"/>
      <c r="H59" s="400"/>
      <c r="I59" s="399"/>
      <c r="J59" s="399"/>
      <c r="K59" s="364"/>
      <c r="L59" s="364"/>
      <c r="M59" s="364"/>
      <c r="N59" s="364"/>
      <c r="O59" s="377"/>
      <c r="P59" s="377"/>
      <c r="Q59" s="373"/>
      <c r="R59" s="373"/>
      <c r="S59" s="373"/>
      <c r="T59" s="373"/>
      <c r="U59" s="373"/>
      <c r="V59" s="42"/>
      <c r="W59" s="43"/>
      <c r="X59" s="13"/>
      <c r="Y59" s="13"/>
      <c r="Z59" s="61"/>
      <c r="AA59" s="356"/>
      <c r="AB59" s="13"/>
      <c r="AC59" s="18"/>
      <c r="AD59" s="287"/>
      <c r="AE59" s="287"/>
    </row>
    <row r="60" spans="1:31">
      <c r="A60" s="417" t="s">
        <v>570</v>
      </c>
      <c r="B60" s="326">
        <f>ROUND(MIN(B$96,29800000)*'New Hire'!C55,0)</f>
        <v>1547000</v>
      </c>
      <c r="C60" s="326">
        <f>ROUND(MIN(C$96,29800000)*'New Hire'!D55,0)</f>
        <v>1410500</v>
      </c>
      <c r="D60" s="326">
        <f>ROUND(MIN(D$96,29800000)*'New Hire'!E55,0)</f>
        <v>72250</v>
      </c>
      <c r="E60" s="326">
        <f>ROUND(MIN(E$96,29800000)*'New Hire'!F55,0)</f>
        <v>1870000</v>
      </c>
      <c r="F60" s="326">
        <f>ROUND(MIN(F$96,29800000)*'New Hire'!G55,0)</f>
        <v>0</v>
      </c>
      <c r="G60" s="326">
        <f>ROUND(MIN(G$96,29800000)*'New Hire'!H55,0)</f>
        <v>0</v>
      </c>
      <c r="H60" s="326">
        <f>ROUND(MIN(H$96,29800000)*'New Hire'!I55,0)</f>
        <v>894000</v>
      </c>
      <c r="I60" s="326">
        <f>ROUND(MIN(I$96,29800000)*'New Hire'!J55,0)</f>
        <v>149000</v>
      </c>
      <c r="J60" s="326">
        <f>ROUND(MIN(J$96,29800000)*'New Hire'!K55,0)</f>
        <v>5066000</v>
      </c>
      <c r="K60" s="326">
        <f>ROUND(MIN(K$96,29800000)*'New Hire'!L55,0)</f>
        <v>0</v>
      </c>
      <c r="L60" s="326">
        <f>ROUND(MIN(L$96,29800000)*'New Hire'!M55,0)</f>
        <v>1955000</v>
      </c>
      <c r="M60" s="326">
        <f>ROUND(MIN(M$96,29800000)*'New Hire'!N55,0)</f>
        <v>0</v>
      </c>
      <c r="N60" s="326">
        <f>ROUND(MIN(N$96,29800000)*'New Hire'!O55,0)</f>
        <v>0</v>
      </c>
      <c r="O60" s="326">
        <f>ROUND(MIN(O$96,29800000)*'New Hire'!P55,0)</f>
        <v>0</v>
      </c>
      <c r="P60" s="340">
        <f>SUM(B60:O60)</f>
        <v>12963750</v>
      </c>
      <c r="Q60" s="373"/>
      <c r="R60" s="373"/>
      <c r="S60" s="373"/>
      <c r="T60" s="373"/>
      <c r="U60" s="373"/>
      <c r="V60" s="42"/>
      <c r="W60" s="43"/>
      <c r="X60" s="13"/>
      <c r="Y60" s="13"/>
      <c r="Z60" s="61"/>
      <c r="AA60" s="356"/>
      <c r="AB60" s="13"/>
      <c r="AC60" s="18"/>
      <c r="AD60" s="287"/>
      <c r="AE60" s="287"/>
    </row>
    <row r="61" spans="1:31">
      <c r="A61" s="436" t="s">
        <v>571</v>
      </c>
      <c r="B61" s="326">
        <f>ROUND(MIN(B$96,83600000)*'New Hire'!C58,0)</f>
        <v>91000</v>
      </c>
      <c r="C61" s="326">
        <f>ROUND(MIN(C$96,83600000)*'New Hire'!D58,0)</f>
        <v>80600</v>
      </c>
      <c r="D61" s="326">
        <f>ROUND(MIN(D$96,83600000)*'New Hire'!E58,0)</f>
        <v>144500</v>
      </c>
      <c r="E61" s="326">
        <f>ROUND(MIN(E$96,83600000)*'New Hire'!F58,0)</f>
        <v>110000</v>
      </c>
      <c r="F61" s="326">
        <f>ROUND(MIN(F$96,83600000)*'New Hire'!G58,0)</f>
        <v>0</v>
      </c>
      <c r="G61" s="326">
        <f>ROUND(MIN(G$96,83600000)*'New Hire'!H58,0)</f>
        <v>0</v>
      </c>
      <c r="H61" s="326">
        <f>ROUND(MIN(H$96,83600000)*'New Hire'!I58,0)</f>
        <v>0</v>
      </c>
      <c r="I61" s="326">
        <f>ROUND(MIN(I$96,83600000)*'New Hire'!J58,0)</f>
        <v>0</v>
      </c>
      <c r="J61" s="326">
        <f>ROUND(MIN(J$96,83600000)*'New Hire'!K58,0)</f>
        <v>715000</v>
      </c>
      <c r="K61" s="326">
        <f>ROUND(MIN(K$96,83600000)*'New Hire'!L58,0)</f>
        <v>0</v>
      </c>
      <c r="L61" s="326">
        <f>ROUND(MIN(L$96,83600000)*'New Hire'!M58,0)</f>
        <v>115000</v>
      </c>
      <c r="M61" s="326">
        <f>ROUND(MIN(M$96,83600000)*'New Hire'!N58,0)</f>
        <v>0</v>
      </c>
      <c r="N61" s="326">
        <f>ROUND(MIN(N$96,83600000)*'New Hire'!O58,0)</f>
        <v>0</v>
      </c>
      <c r="O61" s="326">
        <f>ROUND(MIN(O$96,83600000)*'New Hire'!P58,0)</f>
        <v>0</v>
      </c>
      <c r="P61" s="340">
        <f>SUM(B61:O61)</f>
        <v>1256100</v>
      </c>
      <c r="Q61" s="373"/>
      <c r="R61" s="373"/>
      <c r="S61" s="373"/>
      <c r="T61" s="373"/>
      <c r="U61" s="373"/>
      <c r="V61" s="24" t="s">
        <v>57</v>
      </c>
      <c r="W61" s="37" t="s">
        <v>67</v>
      </c>
      <c r="X61" s="37" t="s">
        <v>69</v>
      </c>
      <c r="Y61" s="37" t="s">
        <v>70</v>
      </c>
      <c r="Z61" s="62" t="s">
        <v>424</v>
      </c>
      <c r="AA61" s="357" t="s">
        <v>425</v>
      </c>
      <c r="AB61" s="37" t="s">
        <v>56</v>
      </c>
      <c r="AC61" s="38"/>
      <c r="AD61" s="287"/>
      <c r="AE61" s="287"/>
    </row>
    <row r="62" spans="1:31">
      <c r="A62" s="436" t="s">
        <v>572</v>
      </c>
      <c r="B62" s="326">
        <f>ROUND(MIN(B$96,29800000)*'New Hire'!C61,0)</f>
        <v>273000</v>
      </c>
      <c r="C62" s="326">
        <f>ROUND(MIN(C$96,29800000)*'New Hire'!D61,0)</f>
        <v>241800</v>
      </c>
      <c r="D62" s="326">
        <f>ROUND(MIN(D$96,29800000)*'New Hire'!E61,0)</f>
        <v>433500</v>
      </c>
      <c r="E62" s="326">
        <f>ROUND(MIN(E$96,29800000)*'New Hire'!F61,0)</f>
        <v>330000</v>
      </c>
      <c r="F62" s="326">
        <f>ROUND(MIN(F$96,29800000)*'New Hire'!G61,0)</f>
        <v>0</v>
      </c>
      <c r="G62" s="326">
        <f>ROUND(MIN(G$96,29800000)*'New Hire'!H61,0)</f>
        <v>0</v>
      </c>
      <c r="H62" s="326">
        <f>ROUND(MIN(H$96,29800000)*'New Hire'!I61,0)</f>
        <v>894000</v>
      </c>
      <c r="I62" s="326">
        <f>ROUND(MIN(I$96,29800000)*'New Hire'!J61,0)</f>
        <v>894000</v>
      </c>
      <c r="J62" s="326">
        <f>ROUND(MIN(J$96,29800000)*'New Hire'!K61,0)</f>
        <v>894000</v>
      </c>
      <c r="K62" s="326">
        <f>ROUND(MIN(K$96,29800000)*'New Hire'!L61,0)</f>
        <v>0</v>
      </c>
      <c r="L62" s="326">
        <f>ROUND(MIN(L$96,29800000)*'New Hire'!M61,0)</f>
        <v>345000</v>
      </c>
      <c r="M62" s="326">
        <f>ROUND(MIN(M$96,29800000)*'New Hire'!N61,0)</f>
        <v>0</v>
      </c>
      <c r="N62" s="326">
        <f>ROUND(MIN(N$96,29800000)*'New Hire'!O61,0)</f>
        <v>0</v>
      </c>
      <c r="O62" s="326">
        <f>ROUND(MIN(O$96,29800000)*'New Hire'!P61,0)</f>
        <v>0</v>
      </c>
      <c r="P62" s="340">
        <f>SUM(B62:O62)</f>
        <v>4305300</v>
      </c>
      <c r="Q62" s="373"/>
      <c r="R62" s="373"/>
      <c r="S62" s="373"/>
      <c r="T62" s="373"/>
      <c r="U62" s="373"/>
      <c r="V62" s="505" t="s">
        <v>423</v>
      </c>
      <c r="W62" s="506">
        <v>91999906</v>
      </c>
      <c r="X62" s="507" t="s">
        <v>826</v>
      </c>
      <c r="Y62" s="507" t="s">
        <v>826</v>
      </c>
      <c r="Z62" s="286">
        <v>0.375</v>
      </c>
      <c r="AA62" s="286">
        <v>0.47916666666666669</v>
      </c>
      <c r="AB62" s="284">
        <v>9180</v>
      </c>
      <c r="AC62" s="467">
        <v>2.5</v>
      </c>
    </row>
    <row r="63" spans="1:31">
      <c r="A63" s="436" t="s">
        <v>1071</v>
      </c>
      <c r="B63" s="326">
        <f t="shared" ref="B63:O63" si="20">ROUND(MIN(B96,29800000)*2%,0)</f>
        <v>182000</v>
      </c>
      <c r="C63" s="326">
        <f t="shared" si="20"/>
        <v>161200</v>
      </c>
      <c r="D63" s="326">
        <f t="shared" si="20"/>
        <v>289000</v>
      </c>
      <c r="E63" s="326">
        <f t="shared" si="20"/>
        <v>220000</v>
      </c>
      <c r="F63" s="326">
        <f t="shared" si="20"/>
        <v>320000</v>
      </c>
      <c r="G63" s="326">
        <f t="shared" si="20"/>
        <v>0</v>
      </c>
      <c r="H63" s="326">
        <f t="shared" si="20"/>
        <v>596000</v>
      </c>
      <c r="I63" s="326">
        <f t="shared" si="20"/>
        <v>596000</v>
      </c>
      <c r="J63" s="326">
        <f t="shared" si="20"/>
        <v>596000</v>
      </c>
      <c r="K63" s="326">
        <f t="shared" si="20"/>
        <v>260000</v>
      </c>
      <c r="L63" s="326">
        <f t="shared" si="20"/>
        <v>230000</v>
      </c>
      <c r="M63" s="326">
        <f t="shared" si="20"/>
        <v>210000</v>
      </c>
      <c r="N63" s="326">
        <f t="shared" si="20"/>
        <v>0</v>
      </c>
      <c r="O63" s="394">
        <f t="shared" si="20"/>
        <v>0</v>
      </c>
      <c r="P63" s="349">
        <f>SUM(B63:O63)-J63</f>
        <v>3064200</v>
      </c>
      <c r="Q63" s="373"/>
      <c r="R63" s="373"/>
      <c r="S63" s="373"/>
      <c r="T63" s="373"/>
      <c r="U63" s="373"/>
      <c r="V63" s="505" t="s">
        <v>422</v>
      </c>
      <c r="W63" s="506">
        <v>91999906</v>
      </c>
      <c r="X63" s="507" t="s">
        <v>827</v>
      </c>
      <c r="Y63" s="507" t="s">
        <v>827</v>
      </c>
      <c r="Z63" s="286">
        <v>0.375</v>
      </c>
      <c r="AA63" s="286">
        <v>0.47916666666666669</v>
      </c>
      <c r="AB63" s="284">
        <v>9180</v>
      </c>
      <c r="AC63" s="467">
        <v>2.5</v>
      </c>
    </row>
    <row r="64" spans="1:31">
      <c r="A64" s="405"/>
      <c r="B64" s="325"/>
      <c r="C64" s="326"/>
      <c r="D64" s="326"/>
      <c r="E64" s="334"/>
      <c r="F64" s="326"/>
      <c r="G64" s="326"/>
      <c r="H64" s="326"/>
      <c r="I64" s="326"/>
      <c r="J64" s="326"/>
      <c r="K64" s="334"/>
      <c r="L64" s="334"/>
      <c r="M64" s="334"/>
      <c r="N64" s="334"/>
      <c r="O64" s="395"/>
      <c r="P64" s="340"/>
      <c r="Q64" s="373"/>
      <c r="R64" s="373"/>
      <c r="S64" s="373"/>
      <c r="T64" s="373"/>
      <c r="U64" s="373"/>
      <c r="V64" s="505" t="s">
        <v>422</v>
      </c>
      <c r="W64" s="506">
        <v>91999914</v>
      </c>
      <c r="X64" s="507" t="s">
        <v>828</v>
      </c>
      <c r="Y64" s="507" t="s">
        <v>828</v>
      </c>
      <c r="Z64" s="286">
        <v>0.375</v>
      </c>
      <c r="AA64" s="286">
        <v>0.47916666666666669</v>
      </c>
      <c r="AB64" s="284">
        <v>9180</v>
      </c>
      <c r="AC64" s="467">
        <v>2.5</v>
      </c>
      <c r="AD64" s="287"/>
    </row>
    <row r="65" spans="1:31" ht="15.6">
      <c r="A65" s="404" t="s">
        <v>474</v>
      </c>
      <c r="B65" s="325"/>
      <c r="C65" s="326"/>
      <c r="D65" s="326"/>
      <c r="E65" s="334"/>
      <c r="F65" s="326"/>
      <c r="G65" s="326"/>
      <c r="H65" s="326"/>
      <c r="I65" s="326"/>
      <c r="J65" s="326"/>
      <c r="K65" s="334"/>
      <c r="L65" s="334"/>
      <c r="M65" s="334"/>
      <c r="N65" s="334"/>
      <c r="O65" s="395"/>
      <c r="P65" s="340"/>
      <c r="Q65" s="373"/>
      <c r="R65" s="373"/>
      <c r="S65" s="373"/>
      <c r="T65" s="373"/>
      <c r="U65" s="373"/>
      <c r="V65" s="505" t="s">
        <v>422</v>
      </c>
      <c r="W65" s="506">
        <v>91999914</v>
      </c>
      <c r="X65" s="507" t="s">
        <v>829</v>
      </c>
      <c r="Y65" s="507" t="s">
        <v>829</v>
      </c>
      <c r="Z65" s="286">
        <v>0.375</v>
      </c>
      <c r="AA65" s="286">
        <v>0.47916666666666669</v>
      </c>
      <c r="AB65" s="284">
        <v>9180</v>
      </c>
      <c r="AC65" s="467">
        <v>2.5</v>
      </c>
      <c r="AD65" s="287"/>
    </row>
    <row r="66" spans="1:31">
      <c r="A66" s="436" t="s">
        <v>475</v>
      </c>
      <c r="B66" s="326">
        <f>IF(OR(B12="1",B12="P"),ROUND(B129*B87,0),0)+'UAT10-Oct'!B81</f>
        <v>5440612</v>
      </c>
      <c r="C66" s="326">
        <f>IF(OR(C12="1",C12="P"),ROUND(C129*C87,0),0)+'UAT10-Oct'!C81</f>
        <v>4337663</v>
      </c>
      <c r="D66" s="326">
        <f>IF(OR(D12="1",D12="P"),ROUND(D129*D87,0),0)+'UAT10-Oct'!D81</f>
        <v>0</v>
      </c>
      <c r="E66" s="326">
        <f>IF(OR(E12="1",E12="P"),ROUND(E129*E87,0),0)+'UAT10-Oct'!E81</f>
        <v>885057</v>
      </c>
      <c r="F66" s="326">
        <f>IF(OR(F12="1",F12="P"),ROUND(F129*F87,0),0)+'UAT10-Oct'!F81</f>
        <v>0</v>
      </c>
      <c r="G66" s="326">
        <f>IF(OR(G12="1",G12="P"),ROUND(G129*G87,0),0)+'UAT10-Oct'!G81</f>
        <v>7157098</v>
      </c>
      <c r="H66" s="326">
        <f>IF(OR(H12="1",H12="P"),ROUND(H129*H87,0),0)+'UAT10-Oct'!H81</f>
        <v>0</v>
      </c>
      <c r="I66" s="326">
        <f>IF(OR(I12="1",I12="P"),ROUND(I129*I87,0),0)+'UAT10-Oct'!I81</f>
        <v>0</v>
      </c>
      <c r="J66" s="326">
        <f>IF(OR(J12="1",J12="P"),ROUND(J129*J87,0),0)+'UAT10-Oct'!J81</f>
        <v>28436784</v>
      </c>
      <c r="K66" s="326">
        <f>IF(OR(K12="1",K12="P"),ROUND(K129*K87,0),0)+'UAT10-Oct'!K81</f>
        <v>8283527</v>
      </c>
      <c r="L66" s="326">
        <f>IF(OR(L12="1",L12="P"),ROUND(L129*L87,0),0)+'UAT10-Oct'!L81</f>
        <v>43314182</v>
      </c>
      <c r="M66" s="326">
        <f>IF(OR(M12="1",M12="P"),ROUND(M129*M87,0),0)+'UAT10-Oct'!M81</f>
        <v>0</v>
      </c>
      <c r="N66" s="326">
        <f>IF(OR(N12="1",N12="P"),ROUND(N129*N87,0),0)+'UAT10-Oct'!N81</f>
        <v>0</v>
      </c>
      <c r="O66" s="326">
        <f>IF(OR(O12="1",O12="P"),ROUND(O129*O87,0),0)+'UAT10-Oct'!O81</f>
        <v>2258622</v>
      </c>
      <c r="P66" s="340">
        <f>SUM(B66:O66)</f>
        <v>100113545</v>
      </c>
      <c r="Q66" s="373"/>
      <c r="R66" s="373"/>
      <c r="S66" s="373"/>
      <c r="T66" s="373"/>
      <c r="U66" s="373"/>
      <c r="V66" s="496" t="s">
        <v>422</v>
      </c>
      <c r="W66" s="500">
        <v>91999912</v>
      </c>
      <c r="X66" s="435" t="s">
        <v>823</v>
      </c>
      <c r="Y66" s="435" t="s">
        <v>823</v>
      </c>
      <c r="Z66" s="497">
        <v>0.33333333333333331</v>
      </c>
      <c r="AA66" s="497">
        <v>0.75</v>
      </c>
      <c r="AB66" s="498">
        <v>9000</v>
      </c>
      <c r="AC66" s="499">
        <v>10</v>
      </c>
      <c r="AD66" s="287"/>
    </row>
    <row r="67" spans="1:31">
      <c r="A67" s="436" t="s">
        <v>482</v>
      </c>
      <c r="B67" s="584">
        <f>IF('New Hire'!C41&lt;'New Hire'!$Q$40,CEILING((NETWORKDAYS('New Hire'!C41,'New Hire'!$Q$40)+B145)/261,0.5),CEILING(B145/261,0.5))</f>
        <v>0</v>
      </c>
      <c r="C67" s="584">
        <f>IF('New Hire'!D41&lt;'New Hire'!$Q$40,CEILING((NETWORKDAYS('New Hire'!D41,'New Hire'!$Q$40)+C145)/261,0.5),CEILING(C145/261,0.5))</f>
        <v>3</v>
      </c>
      <c r="D67" s="584">
        <f>IF('New Hire'!E41&lt;'New Hire'!$Q$40,CEILING((NETWORKDAYS('New Hire'!E41,'New Hire'!$Q$40)+D145)/261,0.5),CEILING(D145/261,0.5))</f>
        <v>0</v>
      </c>
      <c r="E67" s="584">
        <f>IF('New Hire'!F41&lt;'New Hire'!$Q$40,CEILING((NETWORKDAYS('New Hire'!F41,'New Hire'!$Q$40)+E145)/261,0.5),CEILING(E145/261,0.5))</f>
        <v>0.5</v>
      </c>
      <c r="F67" s="584">
        <f>IF('New Hire'!G41&lt;'New Hire'!$Q$40,CEILING((NETWORKDAYS('New Hire'!G41,'New Hire'!$Q$40)+F145)/261,0.5),CEILING(F145/261,0.5))</f>
        <v>0</v>
      </c>
      <c r="G67" s="584">
        <f>IF('New Hire'!H41&lt;'New Hire'!$Q$40,CEILING((NETWORKDAYS('New Hire'!H41,'New Hire'!$Q$40)+G145)/261,0.5),CEILING(G145/261,0.5))</f>
        <v>0</v>
      </c>
      <c r="H67" s="584">
        <f>IF('New Hire'!I41&lt;'New Hire'!$Q$40,CEILING((NETWORKDAYS('New Hire'!I41,'New Hire'!$Q$40)+H145)/261,0.5),CEILING(H145/261,0.5))</f>
        <v>4.5</v>
      </c>
      <c r="I67" s="584">
        <f>IF('New Hire'!J41&lt;'New Hire'!$Q$40,CEILING((NETWORKDAYS('New Hire'!J41,'New Hire'!$Q$40)+I145)/261,0.5),CEILING(I145/261,0.5))</f>
        <v>0</v>
      </c>
      <c r="J67" s="584">
        <f>IF('New Hire'!K41&lt;'New Hire'!$Q$40,CEILING((NETWORKDAYS('New Hire'!K41,'New Hire'!$Q$40)+J145)/261,0.5),CEILING(J145/261,0.5))</f>
        <v>0</v>
      </c>
      <c r="K67" s="584">
        <f>IF('New Hire'!L41&lt;'New Hire'!$Q$40,CEILING((NETWORKDAYS('New Hire'!L41,'New Hire'!$Q$40)+K145)/261,0.5),CEILING(K145/261,0.5))</f>
        <v>0</v>
      </c>
      <c r="L67" s="584">
        <f>IF('New Hire'!M41&lt;'New Hire'!$Q$40,CEILING((NETWORKDAYS('New Hire'!M41,'New Hire'!$Q$40)+L145)/261,0.5),CEILING(L145/261,0.5))</f>
        <v>0</v>
      </c>
      <c r="M67" s="584">
        <f>IF('New Hire'!N41&lt;'New Hire'!$Q$40,CEILING((NETWORKDAYS('New Hire'!N41,'New Hire'!$Q$40)+M145)/261,0.5),CEILING(M145/261,0.5))</f>
        <v>0</v>
      </c>
      <c r="N67" s="584">
        <f>IF('New Hire'!O41&lt;'New Hire'!$Q$40,CEILING((NETWORKDAYS('New Hire'!O41,'New Hire'!$Q$40)+N145)/261,0.5),CEILING(N145/261,0.5))</f>
        <v>1.5</v>
      </c>
      <c r="O67" s="586">
        <f>IF('New Hire'!P41&lt;'New Hire'!$Q$40,CEILING((NETWORKDAYS('New Hire'!P41,'New Hire'!$Q$40)+O145)/261,0.5),CEILING(O145/261,0.5))</f>
        <v>0</v>
      </c>
      <c r="P67" s="585">
        <f>SUM(B67:O67)</f>
        <v>9.5</v>
      </c>
      <c r="Q67" s="373"/>
      <c r="R67" s="373"/>
      <c r="S67" s="373"/>
      <c r="T67" s="373"/>
      <c r="U67" s="373"/>
      <c r="V67" s="496" t="s">
        <v>422</v>
      </c>
      <c r="W67" s="500">
        <v>91999912</v>
      </c>
      <c r="X67" s="435" t="s">
        <v>824</v>
      </c>
      <c r="Y67" s="435" t="s">
        <v>824</v>
      </c>
      <c r="Z67" s="497">
        <v>0.33333333333333331</v>
      </c>
      <c r="AA67" s="497">
        <v>0.75</v>
      </c>
      <c r="AB67" s="498">
        <v>9000</v>
      </c>
      <c r="AC67" s="499">
        <v>10</v>
      </c>
    </row>
    <row r="68" spans="1:31">
      <c r="A68" s="436" t="s">
        <v>581</v>
      </c>
      <c r="B68" s="326">
        <f>B97+'UAT10-Oct'!B83-'UAT5-May'!B88</f>
        <v>74790000</v>
      </c>
      <c r="C68" s="326">
        <f>C97+'UAT10-Oct'!C83-'UAT5-May'!C88</f>
        <v>62501000</v>
      </c>
      <c r="D68" s="326">
        <f>D97+'UAT10-Oct'!D83</f>
        <v>28900000</v>
      </c>
      <c r="E68" s="326">
        <f>E97+'UAT10-Oct'!E83-'UAT5-May'!E88</f>
        <v>85190000</v>
      </c>
      <c r="F68" s="326">
        <f>F97+'UAT10-Oct'!F83-'UAT5-May'!F88</f>
        <v>96152000</v>
      </c>
      <c r="G68" s="326">
        <f>G97+'UAT10-Oct'!G83-'UAT5-May'!G88</f>
        <v>371280000</v>
      </c>
      <c r="H68" s="326">
        <f>H97+'UAT10-Oct'!H83-'UAT5-May'!H88</f>
        <v>507609375</v>
      </c>
      <c r="I68" s="326">
        <f>I97+'UAT10-Oct'!I83-'UAT5-May'!I88</f>
        <v>431613000</v>
      </c>
      <c r="J68" s="326">
        <f>J97+'UAT10-Oct'!J83-'UAT5-May'!J88</f>
        <v>298114000</v>
      </c>
      <c r="K68" s="326">
        <f>K97+'UAT10-Oct'!K83-'UAT5-May'!K88</f>
        <v>98190000</v>
      </c>
      <c r="L68" s="326">
        <f>L97+'UAT10-Oct'!L83-'UAT5-May'!L88</f>
        <v>89190000</v>
      </c>
      <c r="M68" s="326">
        <f>M97+'UAT10-Oct'!M83-'UAT5-May'!M88</f>
        <v>83190000</v>
      </c>
      <c r="N68" s="326">
        <f>N97+'UAT10-Oct'!N83-'UAT5-May'!N88</f>
        <v>83810000</v>
      </c>
      <c r="O68" s="394">
        <f>O97+'UAT10-Oct'!O83-'UAT5-May'!O88</f>
        <v>23250000</v>
      </c>
      <c r="P68" s="340">
        <f>SUM(B68:O68)</f>
        <v>2333779375</v>
      </c>
      <c r="Q68" s="335"/>
      <c r="R68" s="335"/>
      <c r="S68" s="335"/>
      <c r="T68" s="335"/>
      <c r="U68" s="335"/>
      <c r="V68" s="496" t="s">
        <v>422</v>
      </c>
      <c r="W68" s="500">
        <v>91999912</v>
      </c>
      <c r="X68" s="435" t="s">
        <v>825</v>
      </c>
      <c r="Y68" s="435" t="s">
        <v>825</v>
      </c>
      <c r="Z68" s="497">
        <v>0.33333333333333331</v>
      </c>
      <c r="AA68" s="497">
        <v>0.75</v>
      </c>
      <c r="AB68" s="498">
        <v>9000</v>
      </c>
      <c r="AC68" s="499">
        <v>10</v>
      </c>
    </row>
    <row r="69" spans="1:31">
      <c r="A69" s="436" t="s">
        <v>1138</v>
      </c>
      <c r="B69" s="7">
        <v>8</v>
      </c>
      <c r="C69" s="7"/>
      <c r="D69" s="7"/>
      <c r="E69" s="7">
        <v>15</v>
      </c>
      <c r="F69" s="7"/>
      <c r="G69" s="7"/>
      <c r="H69" s="7"/>
      <c r="I69" s="7"/>
      <c r="J69" s="7">
        <v>8</v>
      </c>
      <c r="K69" s="7"/>
      <c r="L69" s="7"/>
      <c r="M69" s="7">
        <v>180</v>
      </c>
      <c r="N69" s="7">
        <v>10</v>
      </c>
      <c r="O69" s="12"/>
      <c r="P69" s="466">
        <f>SUM(B69:O69)</f>
        <v>221</v>
      </c>
      <c r="Q69" s="335"/>
      <c r="R69" s="335"/>
      <c r="S69" s="335"/>
      <c r="T69" s="335"/>
      <c r="U69" s="335"/>
      <c r="V69" s="33"/>
      <c r="W69" s="45"/>
      <c r="X69" s="13"/>
      <c r="Y69" s="13"/>
      <c r="Z69" s="13"/>
      <c r="AA69" s="13"/>
      <c r="AB69" s="13"/>
      <c r="AC69" s="18"/>
    </row>
    <row r="70" spans="1:31">
      <c r="A70" s="405"/>
      <c r="B70" s="325"/>
      <c r="C70" s="326"/>
      <c r="D70" s="326"/>
      <c r="E70" s="334"/>
      <c r="F70" s="326"/>
      <c r="G70" s="326"/>
      <c r="H70" s="326"/>
      <c r="I70" s="326"/>
      <c r="J70" s="326"/>
      <c r="K70" s="334"/>
      <c r="L70" s="334"/>
      <c r="M70" s="334"/>
      <c r="N70" s="334"/>
      <c r="O70" s="395"/>
      <c r="P70" s="340"/>
      <c r="Q70" s="335"/>
      <c r="R70" s="335"/>
      <c r="S70" s="335"/>
      <c r="T70" s="335"/>
      <c r="U70" s="335"/>
      <c r="V70" s="33"/>
      <c r="W70" s="45"/>
      <c r="X70" s="13"/>
      <c r="Y70" s="13"/>
      <c r="Z70" s="13"/>
      <c r="AA70" s="13"/>
      <c r="AB70" s="13"/>
      <c r="AC70" s="18"/>
    </row>
    <row r="71" spans="1:31" ht="15.6">
      <c r="A71" s="404" t="s">
        <v>835</v>
      </c>
      <c r="B71" s="468"/>
      <c r="C71" s="468"/>
      <c r="D71" s="468"/>
      <c r="E71" s="468"/>
      <c r="F71" s="468"/>
      <c r="G71" s="468"/>
      <c r="H71" s="468"/>
      <c r="I71" s="468"/>
      <c r="J71" s="559"/>
      <c r="K71" s="468"/>
      <c r="L71" s="468"/>
      <c r="M71" s="468"/>
      <c r="N71" s="468"/>
      <c r="O71" s="557"/>
      <c r="P71" s="340"/>
      <c r="Q71" s="335"/>
      <c r="R71" s="335"/>
      <c r="S71" s="335"/>
      <c r="T71" s="335"/>
      <c r="U71" s="335"/>
      <c r="V71" s="32"/>
      <c r="W71" s="44"/>
      <c r="X71" s="13"/>
      <c r="Y71" s="13"/>
      <c r="Z71" s="13"/>
      <c r="AA71" s="13"/>
      <c r="AB71" s="13"/>
      <c r="AC71" s="18"/>
    </row>
    <row r="72" spans="1:31">
      <c r="A72" s="462" t="s">
        <v>831</v>
      </c>
      <c r="B72" s="334">
        <f t="shared" ref="B72:O72" si="21">B82*B117</f>
        <v>3186376.5</v>
      </c>
      <c r="C72" s="334">
        <f t="shared" si="21"/>
        <v>-1058404.7100000002</v>
      </c>
      <c r="D72" s="334">
        <f t="shared" si="21"/>
        <v>0</v>
      </c>
      <c r="E72" s="334">
        <f t="shared" si="21"/>
        <v>5076960</v>
      </c>
      <c r="F72" s="334">
        <f t="shared" si="21"/>
        <v>5907712</v>
      </c>
      <c r="G72" s="334">
        <f t="shared" si="21"/>
        <v>296269837.5</v>
      </c>
      <c r="H72" s="334">
        <f t="shared" si="21"/>
        <v>29047547.850000001</v>
      </c>
      <c r="I72" s="334">
        <f t="shared" si="21"/>
        <v>0</v>
      </c>
      <c r="J72" s="334">
        <f t="shared" si="21"/>
        <v>13894917.32</v>
      </c>
      <c r="K72" s="334">
        <f t="shared" si="21"/>
        <v>4602667.76</v>
      </c>
      <c r="L72" s="334">
        <f t="shared" si="21"/>
        <v>5307680</v>
      </c>
      <c r="M72" s="334">
        <f t="shared" si="21"/>
        <v>3230800</v>
      </c>
      <c r="N72" s="334">
        <f t="shared" si="21"/>
        <v>3510011.6999999997</v>
      </c>
      <c r="O72" s="395">
        <f t="shared" si="21"/>
        <v>35901000</v>
      </c>
      <c r="P72" s="340">
        <f>SUM(B72:O72)-J72</f>
        <v>390982188.60000002</v>
      </c>
      <c r="Q72" s="469"/>
      <c r="R72" s="469"/>
      <c r="S72" s="373"/>
      <c r="T72" s="373"/>
      <c r="U72" s="373"/>
      <c r="V72" s="24" t="s">
        <v>57</v>
      </c>
      <c r="W72" s="37" t="s">
        <v>67</v>
      </c>
      <c r="X72" s="37" t="s">
        <v>69</v>
      </c>
      <c r="Y72" s="37" t="s">
        <v>70</v>
      </c>
      <c r="Z72" s="62" t="s">
        <v>424</v>
      </c>
      <c r="AA72" s="357" t="s">
        <v>425</v>
      </c>
      <c r="AB72" s="37" t="s">
        <v>56</v>
      </c>
      <c r="AC72" s="38"/>
    </row>
    <row r="73" spans="1:31">
      <c r="A73" s="462" t="s">
        <v>832</v>
      </c>
      <c r="B73" s="334">
        <f t="shared" ref="B73:O73" si="22">B82*B116</f>
        <v>6050076.8499999996</v>
      </c>
      <c r="C73" s="334">
        <f t="shared" si="22"/>
        <v>4951144.9799999995</v>
      </c>
      <c r="D73" s="334">
        <f t="shared" si="22"/>
        <v>0</v>
      </c>
      <c r="E73" s="334">
        <f t="shared" si="22"/>
        <v>10153920</v>
      </c>
      <c r="F73" s="334">
        <f t="shared" si="22"/>
        <v>11815424</v>
      </c>
      <c r="G73" s="334">
        <f t="shared" si="22"/>
        <v>592539675</v>
      </c>
      <c r="H73" s="334">
        <f t="shared" si="22"/>
        <v>58095095.700000003</v>
      </c>
      <c r="I73" s="334">
        <f t="shared" si="22"/>
        <v>0</v>
      </c>
      <c r="J73" s="334">
        <f t="shared" si="22"/>
        <v>27789834.640000001</v>
      </c>
      <c r="K73" s="334">
        <f t="shared" si="22"/>
        <v>9205335.5199999996</v>
      </c>
      <c r="L73" s="334">
        <f t="shared" si="22"/>
        <v>10615360</v>
      </c>
      <c r="M73" s="334">
        <f t="shared" si="22"/>
        <v>6461600</v>
      </c>
      <c r="N73" s="334">
        <f t="shared" si="22"/>
        <v>7020484.9400000004</v>
      </c>
      <c r="O73" s="395">
        <f t="shared" si="22"/>
        <v>71802000</v>
      </c>
      <c r="P73" s="340">
        <f>SUM(B73:O73)-J73</f>
        <v>788710116.99000013</v>
      </c>
      <c r="V73" s="496" t="s">
        <v>774</v>
      </c>
      <c r="W73" s="524">
        <v>91999903</v>
      </c>
      <c r="X73" s="525">
        <v>43709</v>
      </c>
      <c r="Y73" s="525">
        <v>43738</v>
      </c>
      <c r="Z73" s="497"/>
      <c r="AA73" s="497"/>
      <c r="AB73" s="498">
        <v>3042</v>
      </c>
      <c r="AC73" s="499">
        <f>_xlfn.DAYS(Y73,X73)+1</f>
        <v>30</v>
      </c>
    </row>
    <row r="74" spans="1:31">
      <c r="A74" s="462" t="s">
        <v>833</v>
      </c>
      <c r="B74" s="334"/>
      <c r="C74" s="334">
        <f>ROUND((C129+C135+C136)/12*AB39*C17/261,0)</f>
        <v>31594</v>
      </c>
      <c r="D74" s="334"/>
      <c r="E74" s="334"/>
      <c r="F74" s="334"/>
      <c r="G74" s="334"/>
      <c r="H74" s="334">
        <f>ROUND((H129*B4+H135+H136)/12*AB40*H17/261,0)</f>
        <v>479214</v>
      </c>
      <c r="I74" s="334"/>
      <c r="J74" s="444"/>
      <c r="K74" s="334"/>
      <c r="L74" s="334"/>
      <c r="M74" s="334"/>
      <c r="N74" s="334"/>
      <c r="O74" s="395"/>
      <c r="P74" s="340">
        <f>SUM(B74:O74)-J74</f>
        <v>510808</v>
      </c>
      <c r="Q74" s="335"/>
      <c r="R74" s="470"/>
      <c r="S74" s="335"/>
      <c r="T74" s="335"/>
      <c r="U74" s="335"/>
      <c r="V74" s="496" t="s">
        <v>774</v>
      </c>
      <c r="W74" s="524">
        <v>91999904</v>
      </c>
      <c r="X74" s="525">
        <v>43709</v>
      </c>
      <c r="Y74" s="525">
        <v>43737</v>
      </c>
      <c r="Z74" s="497"/>
      <c r="AA74" s="497"/>
      <c r="AB74" s="498">
        <v>3042</v>
      </c>
      <c r="AC74" s="499">
        <f>_xlfn.DAYS(Y74,X74)+1</f>
        <v>29</v>
      </c>
    </row>
    <row r="75" spans="1:31">
      <c r="A75" s="462" t="s">
        <v>834</v>
      </c>
      <c r="B75" s="334">
        <f t="shared" ref="B75:O75" si="23">IF(OR(B20="A",B20="B"),ROUND(B67*B129*50%,0),ROUND(B67*B129*$B$4*50%,0))</f>
        <v>0</v>
      </c>
      <c r="C75" s="334">
        <f t="shared" si="23"/>
        <v>9300000</v>
      </c>
      <c r="D75" s="334">
        <f t="shared" si="23"/>
        <v>0</v>
      </c>
      <c r="E75" s="334">
        <f t="shared" si="23"/>
        <v>2750000</v>
      </c>
      <c r="F75" s="334">
        <f t="shared" si="23"/>
        <v>0</v>
      </c>
      <c r="G75" s="334">
        <f t="shared" si="23"/>
        <v>0</v>
      </c>
      <c r="H75" s="334">
        <f t="shared" si="23"/>
        <v>287161875</v>
      </c>
      <c r="I75" s="334">
        <f t="shared" si="23"/>
        <v>0</v>
      </c>
      <c r="J75" s="334">
        <f t="shared" si="23"/>
        <v>0</v>
      </c>
      <c r="K75" s="334">
        <f t="shared" si="23"/>
        <v>0</v>
      </c>
      <c r="L75" s="334">
        <f t="shared" si="23"/>
        <v>0</v>
      </c>
      <c r="M75" s="334">
        <f t="shared" si="23"/>
        <v>0</v>
      </c>
      <c r="N75" s="334">
        <f t="shared" si="23"/>
        <v>6000000</v>
      </c>
      <c r="O75" s="395">
        <f t="shared" si="23"/>
        <v>0</v>
      </c>
      <c r="P75" s="340">
        <f>SUM(B75:O75)-J75</f>
        <v>305211875</v>
      </c>
      <c r="Q75" s="335"/>
      <c r="R75" s="470"/>
      <c r="S75" s="335"/>
      <c r="T75" s="335"/>
      <c r="U75" s="335"/>
      <c r="V75" s="496" t="s">
        <v>292</v>
      </c>
      <c r="W75" s="524">
        <v>91999901</v>
      </c>
      <c r="X75" s="525">
        <v>43709</v>
      </c>
      <c r="Y75" s="525">
        <v>43723</v>
      </c>
      <c r="Z75" s="497"/>
      <c r="AA75" s="497"/>
      <c r="AB75" s="498">
        <v>3045</v>
      </c>
      <c r="AC75" s="499">
        <f>_xlfn.DAYS(Y75,X75)+1</f>
        <v>15</v>
      </c>
    </row>
    <row r="76" spans="1:31">
      <c r="A76" s="462"/>
      <c r="B76" s="334"/>
      <c r="C76" s="334"/>
      <c r="D76" s="334"/>
      <c r="E76" s="334"/>
      <c r="F76" s="334"/>
      <c r="G76" s="334"/>
      <c r="H76" s="334"/>
      <c r="I76" s="334"/>
      <c r="J76" s="334"/>
      <c r="K76" s="334"/>
      <c r="L76" s="334"/>
      <c r="M76" s="334"/>
      <c r="N76" s="334"/>
      <c r="O76" s="395"/>
      <c r="P76" s="340"/>
      <c r="Q76" s="341"/>
      <c r="R76" s="470"/>
      <c r="S76" s="335"/>
      <c r="T76" s="335"/>
      <c r="U76" s="335"/>
      <c r="V76" s="33"/>
      <c r="W76" s="45"/>
      <c r="X76" s="13"/>
      <c r="Y76" s="13"/>
      <c r="Z76" s="13"/>
      <c r="AA76" s="13"/>
      <c r="AB76" s="13"/>
      <c r="AC76" s="18"/>
    </row>
    <row r="77" spans="1:31" ht="15.6">
      <c r="A77" s="404" t="s">
        <v>691</v>
      </c>
      <c r="B77" s="325"/>
      <c r="C77" s="326"/>
      <c r="D77" s="326"/>
      <c r="E77" s="334"/>
      <c r="F77" s="326"/>
      <c r="G77" s="326"/>
      <c r="H77" s="326"/>
      <c r="I77" s="326"/>
      <c r="J77" s="326"/>
      <c r="K77" s="334"/>
      <c r="L77" s="334"/>
      <c r="M77" s="334"/>
      <c r="N77" s="334"/>
      <c r="O77" s="395"/>
      <c r="P77" s="340"/>
      <c r="Q77" s="341"/>
      <c r="R77" s="470"/>
      <c r="S77" s="335"/>
      <c r="T77" s="335"/>
      <c r="U77" s="335"/>
      <c r="V77" s="33"/>
      <c r="W77" s="45"/>
      <c r="X77" s="13"/>
      <c r="Y77" s="13"/>
      <c r="Z77" s="13"/>
      <c r="AA77" s="13"/>
      <c r="AB77" s="13"/>
      <c r="AC77" s="18"/>
    </row>
    <row r="78" spans="1:31">
      <c r="A78" s="483" t="s">
        <v>1100</v>
      </c>
      <c r="B78" s="484"/>
      <c r="C78" s="484"/>
      <c r="D78" s="484"/>
      <c r="E78" s="484"/>
      <c r="F78" s="484"/>
      <c r="G78" s="484"/>
      <c r="H78" s="484"/>
      <c r="I78" s="484"/>
      <c r="J78" s="484"/>
      <c r="K78" s="484"/>
      <c r="L78" s="484"/>
      <c r="M78" s="484">
        <f>ROUND('UAT10-Oct'!M118*AC66*100%,0)+ROUND('UAT10-Oct'!M118*AC67*100%,0)+ROUND('UAT10-Oct'!M118*AC68*100%,0)</f>
        <v>1211550</v>
      </c>
      <c r="N78" s="484"/>
      <c r="O78" s="485"/>
      <c r="P78" s="486">
        <f>SUM(B78:O78)</f>
        <v>1211550</v>
      </c>
      <c r="Q78" s="501" t="s">
        <v>591</v>
      </c>
      <c r="R78" s="501" t="s">
        <v>591</v>
      </c>
      <c r="S78" s="502"/>
      <c r="T78" s="503"/>
      <c r="U78" s="503"/>
      <c r="V78" s="32"/>
      <c r="W78" s="44"/>
      <c r="X78" s="13"/>
      <c r="Y78" s="13"/>
      <c r="Z78" s="13"/>
      <c r="AA78" s="13"/>
      <c r="AB78" s="13"/>
      <c r="AC78" s="18"/>
    </row>
    <row r="79" spans="1:31" s="5" customFormat="1">
      <c r="A79" s="509" t="s">
        <v>724</v>
      </c>
      <c r="B79" s="484"/>
      <c r="C79" s="484"/>
      <c r="D79" s="484"/>
      <c r="E79" s="484"/>
      <c r="F79" s="484"/>
      <c r="G79" s="484"/>
      <c r="H79" s="484"/>
      <c r="I79" s="484"/>
      <c r="J79" s="484"/>
      <c r="K79" s="484"/>
      <c r="L79" s="484"/>
      <c r="M79" s="484">
        <f>ROUND('UAT10-Oct'!M118*AC66*100%,0)+ROUND('UAT10-Oct'!M118*AC67*100%,0)+ROUND('UAT10-Oct'!M118*AC68*100%,0)</f>
        <v>1211550</v>
      </c>
      <c r="N79" s="484"/>
      <c r="O79" s="485"/>
      <c r="P79" s="486">
        <f>SUM(B79:O79)</f>
        <v>1211550</v>
      </c>
      <c r="Q79" s="501" t="s">
        <v>591</v>
      </c>
      <c r="R79" s="501"/>
      <c r="S79" s="504"/>
      <c r="T79" s="504"/>
      <c r="U79" s="504"/>
      <c r="AD79"/>
      <c r="AE79"/>
    </row>
    <row r="80" spans="1:31" s="5" customFormat="1">
      <c r="A80" s="405"/>
      <c r="B80" s="325"/>
      <c r="C80" s="326"/>
      <c r="D80" s="326"/>
      <c r="E80" s="334"/>
      <c r="F80" s="326"/>
      <c r="G80" s="326"/>
      <c r="H80" s="326"/>
      <c r="I80" s="326"/>
      <c r="J80" s="326"/>
      <c r="K80" s="334"/>
      <c r="L80" s="334"/>
      <c r="M80" s="334"/>
      <c r="N80" s="334"/>
      <c r="O80" s="395"/>
      <c r="P80" s="340"/>
      <c r="Q80" s="516"/>
      <c r="R80" s="516"/>
      <c r="S80" s="516"/>
      <c r="T80" s="516"/>
      <c r="U80" s="516"/>
      <c r="AD80"/>
      <c r="AE80"/>
    </row>
    <row r="81" spans="1:31" s="5" customFormat="1" ht="15.6">
      <c r="A81" s="404" t="s">
        <v>483</v>
      </c>
      <c r="B81" s="325"/>
      <c r="C81" s="326"/>
      <c r="D81" s="326"/>
      <c r="E81" s="334"/>
      <c r="F81" s="326"/>
      <c r="G81" s="326"/>
      <c r="H81" s="326"/>
      <c r="I81" s="326"/>
      <c r="J81" s="326"/>
      <c r="K81" s="334"/>
      <c r="L81" s="334"/>
      <c r="M81" s="334"/>
      <c r="N81" s="334"/>
      <c r="O81" s="395"/>
      <c r="P81" s="340"/>
      <c r="Q81" s="341"/>
      <c r="R81" s="374"/>
      <c r="S81" s="374"/>
      <c r="T81" s="374"/>
      <c r="U81" s="374"/>
      <c r="AD81"/>
      <c r="AE81"/>
    </row>
    <row r="82" spans="1:31" s="5" customFormat="1">
      <c r="A82" s="436" t="s">
        <v>488</v>
      </c>
      <c r="B82" s="326">
        <f t="shared" ref="B82:O82" si="24">IF(OR(B20="A",B20="B"),IF(B12&lt;&gt;"C",ROUND(B129*12/52/40,0),B130),IF(B12&lt;&gt;"C",ROUND(B129*$B$4*12/52/40,0),B130*$B$4))</f>
        <v>40385</v>
      </c>
      <c r="C82" s="326">
        <f t="shared" si="24"/>
        <v>35769</v>
      </c>
      <c r="D82" s="326">
        <f t="shared" si="24"/>
        <v>63462</v>
      </c>
      <c r="E82" s="326">
        <f t="shared" si="24"/>
        <v>63462</v>
      </c>
      <c r="F82" s="326">
        <f t="shared" si="24"/>
        <v>92308</v>
      </c>
      <c r="G82" s="326">
        <f t="shared" si="24"/>
        <v>5801250</v>
      </c>
      <c r="H82" s="326">
        <f t="shared" si="24"/>
        <v>736313</v>
      </c>
      <c r="I82" s="326">
        <f t="shared" si="24"/>
        <v>562275</v>
      </c>
      <c r="J82" s="326">
        <f t="shared" si="24"/>
        <v>317308</v>
      </c>
      <c r="K82" s="326">
        <f t="shared" si="24"/>
        <v>57692</v>
      </c>
      <c r="L82" s="326">
        <f t="shared" si="24"/>
        <v>66346</v>
      </c>
      <c r="M82" s="326">
        <f t="shared" si="24"/>
        <v>40385</v>
      </c>
      <c r="N82" s="326">
        <f t="shared" si="24"/>
        <v>46154</v>
      </c>
      <c r="O82" s="394">
        <f t="shared" si="24"/>
        <v>900000</v>
      </c>
      <c r="P82" s="340">
        <f t="shared" ref="P82:P90" si="25">SUM(B82:O82)</f>
        <v>8823109</v>
      </c>
      <c r="Q82" s="341"/>
      <c r="R82" s="341"/>
      <c r="S82" s="341"/>
      <c r="T82" s="341"/>
      <c r="U82" s="341"/>
      <c r="AD82"/>
      <c r="AE82"/>
    </row>
    <row r="83" spans="1:31" s="5" customFormat="1">
      <c r="A83" s="436" t="s">
        <v>499</v>
      </c>
      <c r="B83" s="326">
        <f t="shared" ref="B83:O83" si="26">IF(OR(B20="A",B20="B"),ROUND(SUM(B129,B131,B132,B134)*12/52/5*B14%,0),ROUND(SUM(B129,B131,B132,B134)*12/52/5*$B$4*B14%,0))</f>
        <v>4200</v>
      </c>
      <c r="C83" s="326">
        <f t="shared" si="26"/>
        <v>3348</v>
      </c>
      <c r="D83" s="326">
        <f t="shared" si="26"/>
        <v>6669</v>
      </c>
      <c r="E83" s="326">
        <f t="shared" si="26"/>
        <v>5077</v>
      </c>
      <c r="F83" s="326">
        <f t="shared" si="26"/>
        <v>5908</v>
      </c>
      <c r="G83" s="326">
        <f t="shared" si="26"/>
        <v>0</v>
      </c>
      <c r="H83" s="326">
        <f t="shared" si="26"/>
        <v>38288</v>
      </c>
      <c r="I83" s="326">
        <f t="shared" si="26"/>
        <v>33737</v>
      </c>
      <c r="J83" s="326">
        <f t="shared" si="26"/>
        <v>19800</v>
      </c>
      <c r="K83" s="326">
        <f t="shared" si="26"/>
        <v>6000</v>
      </c>
      <c r="L83" s="326">
        <f t="shared" si="26"/>
        <v>5308</v>
      </c>
      <c r="M83" s="326">
        <f t="shared" si="26"/>
        <v>4846</v>
      </c>
      <c r="N83" s="326">
        <f t="shared" si="26"/>
        <v>5008</v>
      </c>
      <c r="O83" s="394">
        <f t="shared" si="26"/>
        <v>0</v>
      </c>
      <c r="P83" s="340">
        <f t="shared" si="25"/>
        <v>138189</v>
      </c>
      <c r="Q83" s="341"/>
      <c r="R83" s="341"/>
      <c r="S83" s="341"/>
      <c r="T83" s="341"/>
      <c r="U83" s="341"/>
      <c r="AD83"/>
      <c r="AE83"/>
    </row>
    <row r="84" spans="1:31" s="5" customFormat="1">
      <c r="A84" s="436" t="s">
        <v>500</v>
      </c>
      <c r="B84" s="326">
        <f t="shared" ref="B84:O84" si="27">IF(OR(B20="A",B20="B"),ROUND(B129/B17,0),ROUND(B129*$B$4/B17,0))</f>
        <v>333333</v>
      </c>
      <c r="C84" s="326">
        <f t="shared" si="27"/>
        <v>295238</v>
      </c>
      <c r="D84" s="326">
        <f t="shared" si="27"/>
        <v>523810</v>
      </c>
      <c r="E84" s="326">
        <f t="shared" si="27"/>
        <v>523810</v>
      </c>
      <c r="F84" s="326">
        <f t="shared" si="27"/>
        <v>761905</v>
      </c>
      <c r="G84" s="326">
        <f t="shared" si="27"/>
        <v>0</v>
      </c>
      <c r="H84" s="326">
        <f t="shared" si="27"/>
        <v>6077500</v>
      </c>
      <c r="I84" s="326">
        <f t="shared" si="27"/>
        <v>4641000</v>
      </c>
      <c r="J84" s="326">
        <f t="shared" si="27"/>
        <v>2619048</v>
      </c>
      <c r="K84" s="326">
        <f t="shared" si="27"/>
        <v>476190</v>
      </c>
      <c r="L84" s="326">
        <f t="shared" si="27"/>
        <v>547619</v>
      </c>
      <c r="M84" s="326">
        <f t="shared" si="27"/>
        <v>333333</v>
      </c>
      <c r="N84" s="326">
        <f t="shared" si="27"/>
        <v>380952</v>
      </c>
      <c r="O84" s="394">
        <f t="shared" si="27"/>
        <v>0</v>
      </c>
      <c r="P84" s="340">
        <f t="shared" si="25"/>
        <v>17513738</v>
      </c>
      <c r="Q84" s="341"/>
      <c r="R84" s="341"/>
      <c r="S84" s="341"/>
      <c r="T84" s="341"/>
      <c r="U84" s="341"/>
      <c r="AD84"/>
      <c r="AE84"/>
    </row>
    <row r="85" spans="1:31" s="5" customFormat="1">
      <c r="A85" s="436" t="s">
        <v>621</v>
      </c>
      <c r="B85" s="326">
        <f t="shared" ref="B85:O85" si="28">IF(OR(B20="A",B20="B"),ROUND(SUM(B131,B132,B133,B135:B137)/B17,0),ROUND(SUM(B131,B132,B133,B135:B137)*$B$4/B17,0))</f>
        <v>100000</v>
      </c>
      <c r="C85" s="326">
        <f t="shared" si="28"/>
        <v>88571</v>
      </c>
      <c r="D85" s="326">
        <f t="shared" si="28"/>
        <v>164286</v>
      </c>
      <c r="E85" s="326">
        <f t="shared" si="28"/>
        <v>0</v>
      </c>
      <c r="F85" s="326">
        <f t="shared" si="28"/>
        <v>0</v>
      </c>
      <c r="G85" s="326">
        <f t="shared" si="28"/>
        <v>0</v>
      </c>
      <c r="H85" s="326">
        <f t="shared" si="28"/>
        <v>1823250</v>
      </c>
      <c r="I85" s="326">
        <f t="shared" si="28"/>
        <v>0</v>
      </c>
      <c r="J85" s="326">
        <f t="shared" si="28"/>
        <v>785714</v>
      </c>
      <c r="K85" s="326">
        <f t="shared" si="28"/>
        <v>142857</v>
      </c>
      <c r="L85" s="326">
        <f t="shared" si="28"/>
        <v>0</v>
      </c>
      <c r="M85" s="326">
        <f t="shared" si="28"/>
        <v>166667</v>
      </c>
      <c r="N85" s="326">
        <f t="shared" si="28"/>
        <v>135714</v>
      </c>
      <c r="O85" s="394">
        <f t="shared" si="28"/>
        <v>0</v>
      </c>
      <c r="P85" s="340">
        <f t="shared" si="25"/>
        <v>3407059</v>
      </c>
      <c r="Q85" s="341"/>
      <c r="R85" s="341"/>
      <c r="S85" s="341"/>
      <c r="T85" s="341"/>
      <c r="U85" s="341"/>
      <c r="AD85"/>
      <c r="AE85"/>
    </row>
    <row r="86" spans="1:31" s="5" customFormat="1">
      <c r="A86" s="436" t="s">
        <v>501</v>
      </c>
      <c r="B86" s="7">
        <f t="shared" ref="B86:O86" si="29">B15/B17*100%</f>
        <v>1</v>
      </c>
      <c r="C86" s="7">
        <f t="shared" si="29"/>
        <v>0.76190476190476186</v>
      </c>
      <c r="D86" s="7">
        <f t="shared" si="29"/>
        <v>1</v>
      </c>
      <c r="E86" s="7">
        <f t="shared" si="29"/>
        <v>1</v>
      </c>
      <c r="F86" s="7">
        <f t="shared" si="29"/>
        <v>1</v>
      </c>
      <c r="G86" s="7">
        <f t="shared" si="29"/>
        <v>1</v>
      </c>
      <c r="H86" s="7">
        <f t="shared" si="29"/>
        <v>1</v>
      </c>
      <c r="I86" s="7">
        <f t="shared" si="29"/>
        <v>1</v>
      </c>
      <c r="J86" s="7">
        <f t="shared" si="29"/>
        <v>1</v>
      </c>
      <c r="K86" s="7">
        <f t="shared" si="29"/>
        <v>1</v>
      </c>
      <c r="L86" s="7">
        <f t="shared" si="29"/>
        <v>1</v>
      </c>
      <c r="M86" s="7">
        <f t="shared" si="29"/>
        <v>1</v>
      </c>
      <c r="N86" s="7">
        <f t="shared" si="29"/>
        <v>0.2857142857142857</v>
      </c>
      <c r="O86" s="12">
        <f t="shared" si="29"/>
        <v>1</v>
      </c>
      <c r="P86" s="466">
        <f t="shared" si="25"/>
        <v>13.047619047619049</v>
      </c>
      <c r="Q86" s="341"/>
      <c r="R86" s="341"/>
      <c r="S86" s="341"/>
      <c r="T86" s="341"/>
      <c r="U86" s="341"/>
      <c r="AD86"/>
      <c r="AE86"/>
    </row>
    <row r="87" spans="1:31" s="5" customFormat="1">
      <c r="A87" s="436" t="s">
        <v>502</v>
      </c>
      <c r="B87" s="7">
        <f t="shared" ref="B87:O87" si="30">(B15-B138)/261*100%</f>
        <v>8.0459770114942528E-2</v>
      </c>
      <c r="C87" s="7">
        <f t="shared" si="30"/>
        <v>6.1302681992337162E-2</v>
      </c>
      <c r="D87" s="7">
        <f t="shared" si="30"/>
        <v>8.0459770114942528E-2</v>
      </c>
      <c r="E87" s="7">
        <f t="shared" si="30"/>
        <v>8.0459770114942528E-2</v>
      </c>
      <c r="F87" s="7">
        <f t="shared" si="30"/>
        <v>8.0459770114942528E-2</v>
      </c>
      <c r="G87" s="7">
        <f t="shared" si="30"/>
        <v>8.0459770114942528E-2</v>
      </c>
      <c r="H87" s="7">
        <f t="shared" si="30"/>
        <v>8.0459770114942528E-2</v>
      </c>
      <c r="I87" s="7">
        <f t="shared" si="30"/>
        <v>8.0459770114942528E-2</v>
      </c>
      <c r="J87" s="7">
        <f t="shared" si="30"/>
        <v>8.0459770114942528E-2</v>
      </c>
      <c r="K87" s="7">
        <f t="shared" si="30"/>
        <v>8.0459770114942528E-2</v>
      </c>
      <c r="L87" s="7">
        <f t="shared" si="30"/>
        <v>8.0459770114942528E-2</v>
      </c>
      <c r="M87" s="7">
        <f t="shared" si="30"/>
        <v>8.0459770114942528E-2</v>
      </c>
      <c r="N87" s="7">
        <f t="shared" si="30"/>
        <v>2.2988505747126436E-2</v>
      </c>
      <c r="O87" s="7">
        <f t="shared" si="30"/>
        <v>8.0459770114942528E-2</v>
      </c>
      <c r="P87" s="466">
        <f t="shared" si="25"/>
        <v>1.0498084291187739</v>
      </c>
      <c r="Q87" s="341"/>
      <c r="R87" s="341"/>
      <c r="S87" s="341"/>
      <c r="T87" s="341"/>
      <c r="U87" s="341"/>
      <c r="V87" s="154"/>
      <c r="AD87"/>
      <c r="AE87"/>
    </row>
    <row r="88" spans="1:31" s="5" customFormat="1">
      <c r="A88" s="436" t="s">
        <v>503</v>
      </c>
      <c r="B88" s="7">
        <f t="shared" ref="B88:O88" si="31">B139/B17*100%</f>
        <v>0</v>
      </c>
      <c r="C88" s="7">
        <f t="shared" si="31"/>
        <v>0</v>
      </c>
      <c r="D88" s="7">
        <f t="shared" si="31"/>
        <v>0</v>
      </c>
      <c r="E88" s="7">
        <f t="shared" si="31"/>
        <v>0</v>
      </c>
      <c r="F88" s="7">
        <f t="shared" si="31"/>
        <v>0</v>
      </c>
      <c r="G88" s="7">
        <f t="shared" si="31"/>
        <v>0</v>
      </c>
      <c r="H88" s="7">
        <f t="shared" si="31"/>
        <v>0</v>
      </c>
      <c r="I88" s="7">
        <f t="shared" si="31"/>
        <v>0</v>
      </c>
      <c r="J88" s="7">
        <f t="shared" si="31"/>
        <v>0</v>
      </c>
      <c r="K88" s="7">
        <f t="shared" si="31"/>
        <v>0</v>
      </c>
      <c r="L88" s="7">
        <f t="shared" si="31"/>
        <v>0</v>
      </c>
      <c r="M88" s="7">
        <f t="shared" si="31"/>
        <v>0</v>
      </c>
      <c r="N88" s="7">
        <f t="shared" si="31"/>
        <v>0</v>
      </c>
      <c r="O88" s="12">
        <f t="shared" si="31"/>
        <v>0</v>
      </c>
      <c r="P88" s="466">
        <f t="shared" si="25"/>
        <v>0</v>
      </c>
      <c r="Q88" s="341"/>
      <c r="R88" s="341"/>
      <c r="S88" s="341"/>
      <c r="T88" s="341"/>
      <c r="U88" s="341"/>
      <c r="AD88"/>
      <c r="AE88"/>
    </row>
    <row r="89" spans="1:31" s="5" customFormat="1">
      <c r="A89" s="442" t="s">
        <v>492</v>
      </c>
      <c r="B89" s="326">
        <f>ROUND(AA25*B18/365,0)</f>
        <v>657534</v>
      </c>
      <c r="C89" s="326">
        <f>ROUND(AA26*C18/365,0)</f>
        <v>504110</v>
      </c>
      <c r="E89" s="326">
        <f>ROUND(AA27*E18/365,0)</f>
        <v>657534</v>
      </c>
      <c r="F89" s="326">
        <f>ROUND(AA28*F18/365,0)</f>
        <v>657534</v>
      </c>
      <c r="G89" s="362"/>
      <c r="H89" s="561">
        <f>ROUND(AA29*G18/366,0)</f>
        <v>655738</v>
      </c>
      <c r="I89" s="326"/>
      <c r="J89" s="326"/>
      <c r="K89" s="334"/>
      <c r="L89" s="334"/>
      <c r="M89" s="334"/>
      <c r="N89" s="334"/>
      <c r="O89" s="395"/>
      <c r="P89" s="340">
        <f t="shared" si="25"/>
        <v>3132450</v>
      </c>
      <c r="Q89" s="516"/>
      <c r="R89" s="516"/>
      <c r="S89" s="516"/>
      <c r="T89" s="516"/>
      <c r="U89" s="516"/>
      <c r="W89" s="154"/>
      <c r="X89" s="154"/>
      <c r="Y89" s="154"/>
      <c r="Z89" s="154"/>
      <c r="AA89" s="154"/>
      <c r="AB89" s="154"/>
      <c r="AC89" s="154"/>
      <c r="AD89"/>
      <c r="AE89"/>
    </row>
    <row r="90" spans="1:31" s="5" customFormat="1">
      <c r="A90" s="436" t="s">
        <v>534</v>
      </c>
      <c r="B90" s="326">
        <f>ROUND(AA30*B18/365,0)</f>
        <v>575342</v>
      </c>
      <c r="C90" s="326">
        <f>ROUND(AA31*C18/365,0)</f>
        <v>441096</v>
      </c>
      <c r="E90" s="326">
        <f>ROUND(AA32*E18/365,0)</f>
        <v>575342</v>
      </c>
      <c r="F90" s="326">
        <f>ROUND(AA33*F18/365,0)</f>
        <v>575342</v>
      </c>
      <c r="G90" s="326"/>
      <c r="H90" s="326">
        <f>ROUND(AA34*G18/365,0)</f>
        <v>575342</v>
      </c>
      <c r="I90" s="326"/>
      <c r="J90" s="326"/>
      <c r="K90" s="326"/>
      <c r="L90" s="326"/>
      <c r="M90" s="326"/>
      <c r="N90" s="326"/>
      <c r="O90" s="394"/>
      <c r="P90" s="340">
        <f t="shared" si="25"/>
        <v>2742464</v>
      </c>
      <c r="Q90"/>
      <c r="R90" s="341"/>
      <c r="S90" s="341"/>
      <c r="T90" s="341"/>
      <c r="U90" s="341"/>
      <c r="AD90"/>
      <c r="AE90"/>
    </row>
    <row r="91" spans="1:31" s="5" customFormat="1">
      <c r="A91" s="405" t="s">
        <v>606</v>
      </c>
      <c r="B91" s="396"/>
      <c r="C91" s="80"/>
      <c r="D91" s="326"/>
      <c r="E91" s="326"/>
      <c r="F91" s="326"/>
      <c r="G91" s="326"/>
      <c r="H91" s="326">
        <f>AA35*B4</f>
        <v>2320500</v>
      </c>
      <c r="I91" s="326">
        <f>AA36*B4</f>
        <v>2320500</v>
      </c>
      <c r="J91" s="326"/>
      <c r="K91" s="334"/>
      <c r="L91" s="334"/>
      <c r="M91" s="334"/>
      <c r="N91" s="334"/>
      <c r="O91" s="395"/>
      <c r="P91" s="349">
        <f>SUM(D91:O91)</f>
        <v>4641000</v>
      </c>
      <c r="Q91" s="373"/>
      <c r="R91" s="373"/>
      <c r="S91" s="373"/>
      <c r="T91" s="373"/>
      <c r="U91" s="373"/>
      <c r="AD91"/>
      <c r="AE91"/>
    </row>
    <row r="92" spans="1:31" s="5" customFormat="1">
      <c r="A92" s="405" t="s">
        <v>607</v>
      </c>
      <c r="B92" s="396"/>
      <c r="C92" s="80"/>
      <c r="D92" s="326"/>
      <c r="E92" s="326"/>
      <c r="F92" s="326"/>
      <c r="G92" s="326"/>
      <c r="H92" s="326">
        <f>AA37*B4</f>
        <v>4641000</v>
      </c>
      <c r="I92" s="326">
        <f>AA38*B4</f>
        <v>4641000</v>
      </c>
      <c r="J92" s="326"/>
      <c r="K92" s="334"/>
      <c r="L92" s="334"/>
      <c r="M92" s="334"/>
      <c r="N92" s="334"/>
      <c r="O92" s="395"/>
      <c r="P92" s="349">
        <f>SUM(D92:O92)</f>
        <v>9282000</v>
      </c>
      <c r="Q92" s="373"/>
      <c r="R92" s="373"/>
      <c r="S92" s="373"/>
      <c r="T92" s="373"/>
      <c r="U92" s="373"/>
      <c r="AD92"/>
      <c r="AE92"/>
    </row>
    <row r="93" spans="1:31" s="5" customFormat="1">
      <c r="A93" s="405"/>
      <c r="B93" s="325"/>
      <c r="C93" s="326"/>
      <c r="D93" s="326"/>
      <c r="E93" s="334"/>
      <c r="F93" s="326"/>
      <c r="G93" s="326"/>
      <c r="H93" s="326"/>
      <c r="I93" s="326"/>
      <c r="J93" s="326"/>
      <c r="K93" s="334"/>
      <c r="L93" s="334"/>
      <c r="M93" s="334"/>
      <c r="N93" s="334"/>
      <c r="O93" s="395"/>
      <c r="P93" s="340"/>
      <c r="Q93"/>
      <c r="R93"/>
      <c r="S93"/>
      <c r="T93"/>
      <c r="U93"/>
      <c r="AD93"/>
      <c r="AE93"/>
    </row>
    <row r="94" spans="1:31" s="5" customFormat="1">
      <c r="A94" s="405" t="s">
        <v>576</v>
      </c>
      <c r="B94" s="325">
        <f t="shared" ref="B94:O94" si="32">SUM(B26:B37)</f>
        <v>9100000</v>
      </c>
      <c r="C94" s="326" t="e">
        <f t="shared" si="32"/>
        <v>#REF!</v>
      </c>
      <c r="D94" s="326">
        <f t="shared" si="32"/>
        <v>14450000</v>
      </c>
      <c r="E94" s="326">
        <f t="shared" si="32"/>
        <v>11000000</v>
      </c>
      <c r="F94" s="326">
        <f t="shared" si="32"/>
        <v>16000000</v>
      </c>
      <c r="G94" s="326">
        <f t="shared" si="32"/>
        <v>29006250</v>
      </c>
      <c r="H94" s="326" t="e">
        <f t="shared" si="32"/>
        <v>#REF!</v>
      </c>
      <c r="I94" s="326">
        <f t="shared" si="32"/>
        <v>90499500</v>
      </c>
      <c r="J94" s="326">
        <f t="shared" si="32"/>
        <v>71500000</v>
      </c>
      <c r="K94" s="326">
        <f t="shared" si="32"/>
        <v>13000000</v>
      </c>
      <c r="L94" s="326">
        <f t="shared" si="32"/>
        <v>11500000</v>
      </c>
      <c r="M94" s="326">
        <f t="shared" si="32"/>
        <v>12923100</v>
      </c>
      <c r="N94" s="326" t="e">
        <f t="shared" si="32"/>
        <v>#REF!</v>
      </c>
      <c r="O94" s="394">
        <f t="shared" si="32"/>
        <v>4500000</v>
      </c>
      <c r="P94" s="340" t="e">
        <f t="shared" ref="P94:P120" si="33">SUM(B94:O94)</f>
        <v>#REF!</v>
      </c>
      <c r="Q94"/>
      <c r="R94"/>
      <c r="S94"/>
      <c r="T94"/>
      <c r="U94"/>
      <c r="AD94"/>
      <c r="AE94"/>
    </row>
    <row r="95" spans="1:31" s="5" customFormat="1">
      <c r="A95" s="436" t="s">
        <v>577</v>
      </c>
      <c r="B95" s="326">
        <f t="shared" ref="B95:O95" si="34">SUM(B26:B29,B31:B34,B39,B40,B78)</f>
        <v>9952312</v>
      </c>
      <c r="C95" s="326" t="e">
        <f t="shared" si="34"/>
        <v>#REF!</v>
      </c>
      <c r="D95" s="326">
        <f t="shared" si="34"/>
        <v>14450000</v>
      </c>
      <c r="E95" s="326">
        <f t="shared" si="34"/>
        <v>11949701</v>
      </c>
      <c r="F95" s="326">
        <f t="shared" si="34"/>
        <v>16657534</v>
      </c>
      <c r="G95" s="326">
        <f t="shared" si="34"/>
        <v>29006250</v>
      </c>
      <c r="H95" s="326" t="e">
        <f t="shared" si="34"/>
        <v>#REF!</v>
      </c>
      <c r="I95" s="326">
        <f t="shared" si="34"/>
        <v>90499500</v>
      </c>
      <c r="J95" s="326">
        <f t="shared" si="34"/>
        <v>71500000</v>
      </c>
      <c r="K95" s="326">
        <f t="shared" si="34"/>
        <v>13000000</v>
      </c>
      <c r="L95" s="326">
        <f t="shared" si="34"/>
        <v>11500000</v>
      </c>
      <c r="M95" s="326">
        <f t="shared" si="34"/>
        <v>11711550</v>
      </c>
      <c r="N95" s="326" t="e">
        <f t="shared" si="34"/>
        <v>#REF!</v>
      </c>
      <c r="O95" s="326">
        <f t="shared" si="34"/>
        <v>4500000</v>
      </c>
      <c r="P95" s="340" t="e">
        <f t="shared" si="33"/>
        <v>#REF!</v>
      </c>
      <c r="Q95"/>
      <c r="R95"/>
      <c r="S95"/>
      <c r="T95"/>
      <c r="U95"/>
      <c r="AD95"/>
      <c r="AE95"/>
    </row>
    <row r="96" spans="1:31" s="5" customFormat="1">
      <c r="A96" s="436" t="s">
        <v>578</v>
      </c>
      <c r="B96" s="326">
        <f t="shared" ref="B96:O96" si="35">IF(B16&lt;B17/2,0,IF(OR(B20="A",B20="B"),SUM(B129,B131,B132,B134),B143))</f>
        <v>9100000</v>
      </c>
      <c r="C96" s="326">
        <f t="shared" si="35"/>
        <v>8060000</v>
      </c>
      <c r="D96" s="326">
        <f t="shared" si="35"/>
        <v>14450000</v>
      </c>
      <c r="E96" s="326">
        <f t="shared" si="35"/>
        <v>11000000</v>
      </c>
      <c r="F96" s="326">
        <f t="shared" si="35"/>
        <v>16000000</v>
      </c>
      <c r="G96" s="326">
        <f t="shared" si="35"/>
        <v>0</v>
      </c>
      <c r="H96" s="326">
        <f t="shared" si="35"/>
        <v>160975000</v>
      </c>
      <c r="I96" s="326">
        <f t="shared" si="35"/>
        <v>91650000</v>
      </c>
      <c r="J96" s="326">
        <f t="shared" si="35"/>
        <v>71500000</v>
      </c>
      <c r="K96" s="326">
        <f t="shared" si="35"/>
        <v>13000000</v>
      </c>
      <c r="L96" s="326">
        <f t="shared" si="35"/>
        <v>11500000</v>
      </c>
      <c r="M96" s="326">
        <f t="shared" si="35"/>
        <v>10500000</v>
      </c>
      <c r="N96" s="326">
        <f t="shared" si="35"/>
        <v>0</v>
      </c>
      <c r="O96" s="394">
        <f t="shared" si="35"/>
        <v>0</v>
      </c>
      <c r="P96" s="340">
        <f t="shared" si="33"/>
        <v>417735000</v>
      </c>
      <c r="Q96"/>
      <c r="R96"/>
      <c r="S96"/>
      <c r="T96"/>
      <c r="U96"/>
      <c r="AD96"/>
      <c r="AE96"/>
    </row>
    <row r="97" spans="1:32" s="5" customFormat="1">
      <c r="A97" s="405" t="s">
        <v>580</v>
      </c>
      <c r="B97" s="326">
        <f t="shared" ref="B97:O97" si="36">IF(OR(B20="A",B20="B"),SUM(B142,B131,B132,B135,B136,B134),SUM(B142,B134)*$B$4)</f>
        <v>9100000</v>
      </c>
      <c r="C97" s="326">
        <f t="shared" si="36"/>
        <v>8060000</v>
      </c>
      <c r="D97" s="326">
        <f t="shared" si="36"/>
        <v>14450000</v>
      </c>
      <c r="E97" s="326">
        <f t="shared" si="36"/>
        <v>11000000</v>
      </c>
      <c r="F97" s="326">
        <f t="shared" si="36"/>
        <v>16000000</v>
      </c>
      <c r="G97" s="326">
        <f t="shared" si="36"/>
        <v>0</v>
      </c>
      <c r="H97" s="326">
        <f t="shared" si="36"/>
        <v>120666000</v>
      </c>
      <c r="I97" s="326">
        <f t="shared" si="36"/>
        <v>90499500</v>
      </c>
      <c r="J97" s="326">
        <f t="shared" si="36"/>
        <v>71500000</v>
      </c>
      <c r="K97" s="326">
        <f t="shared" si="36"/>
        <v>13000000</v>
      </c>
      <c r="L97" s="326">
        <f t="shared" si="36"/>
        <v>11500000</v>
      </c>
      <c r="M97" s="326">
        <f t="shared" si="36"/>
        <v>10500000</v>
      </c>
      <c r="N97" s="326">
        <f t="shared" si="36"/>
        <v>10850000</v>
      </c>
      <c r="O97" s="394">
        <f t="shared" si="36"/>
        <v>0</v>
      </c>
      <c r="P97" s="340">
        <f t="shared" si="33"/>
        <v>387125500</v>
      </c>
      <c r="Q97"/>
      <c r="R97"/>
      <c r="S97"/>
      <c r="T97"/>
      <c r="U97"/>
      <c r="AD97"/>
      <c r="AE97"/>
    </row>
    <row r="98" spans="1:32" s="5" customFormat="1">
      <c r="A98" s="405" t="s">
        <v>481</v>
      </c>
      <c r="B98" s="326">
        <f>ROUND('UAT10-Oct'!B83/6,0)</f>
        <v>12031667</v>
      </c>
      <c r="C98" s="326">
        <f>ROUND('UAT10-Oct'!C83/6,0)</f>
        <v>9951000</v>
      </c>
      <c r="D98" s="326">
        <f>ROUND('UAT10-Oct'!D83/1,0)</f>
        <v>14450000</v>
      </c>
      <c r="E98" s="326">
        <f>ROUND('UAT10-Oct'!E83/6,0)</f>
        <v>13865000</v>
      </c>
      <c r="F98" s="326">
        <f>ROUND('UAT10-Oct'!F83/6,0)</f>
        <v>15225333</v>
      </c>
      <c r="G98" s="326">
        <f>ROUND('UAT10-Oct'!G83/6,0)</f>
        <v>74256000</v>
      </c>
      <c r="H98" s="326">
        <f>ROUND('UAT10-Oct'!H83/6,0)</f>
        <v>75899688</v>
      </c>
      <c r="I98" s="326">
        <f>ROUND('UAT10-Oct'!I83/6,0)</f>
        <v>67294500</v>
      </c>
      <c r="J98" s="326">
        <f>ROUND('UAT10-Oct'!J83/6,0)</f>
        <v>44269000</v>
      </c>
      <c r="K98" s="326">
        <f>ROUND('UAT10-Oct'!K83/6,0)</f>
        <v>15931667</v>
      </c>
      <c r="L98" s="326">
        <f>ROUND('UAT10-Oct'!L83/6,0)</f>
        <v>27948333</v>
      </c>
      <c r="M98" s="326">
        <f>ROUND('UAT10-Oct'!M83/6,0)</f>
        <v>13365000</v>
      </c>
      <c r="N98" s="326">
        <f>ROUND('UAT10-Oct'!N83/6,0)</f>
        <v>13660000</v>
      </c>
      <c r="O98" s="394">
        <f>ROUND('UAT10-Oct'!O83/6,0)</f>
        <v>4875000</v>
      </c>
      <c r="P98" s="340">
        <f t="shared" si="33"/>
        <v>403022188</v>
      </c>
      <c r="Q98"/>
      <c r="R98"/>
      <c r="S98"/>
      <c r="T98"/>
      <c r="U98"/>
      <c r="AD98"/>
      <c r="AE98"/>
    </row>
    <row r="99" spans="1:32" s="5" customFormat="1">
      <c r="A99" s="436" t="s">
        <v>484</v>
      </c>
      <c r="B99" s="326">
        <f>B95</f>
        <v>9952312</v>
      </c>
      <c r="C99" s="326" t="e">
        <f t="shared" ref="C99:O99" si="37">C95</f>
        <v>#REF!</v>
      </c>
      <c r="D99" s="326">
        <f t="shared" si="37"/>
        <v>14450000</v>
      </c>
      <c r="E99" s="326">
        <f t="shared" si="37"/>
        <v>11949701</v>
      </c>
      <c r="F99" s="326">
        <f t="shared" si="37"/>
        <v>16657534</v>
      </c>
      <c r="G99" s="326">
        <f t="shared" si="37"/>
        <v>29006250</v>
      </c>
      <c r="H99" s="326" t="e">
        <f t="shared" si="37"/>
        <v>#REF!</v>
      </c>
      <c r="I99" s="326">
        <f t="shared" si="37"/>
        <v>90499500</v>
      </c>
      <c r="J99" s="326">
        <f t="shared" si="37"/>
        <v>71500000</v>
      </c>
      <c r="K99" s="326">
        <f t="shared" si="37"/>
        <v>13000000</v>
      </c>
      <c r="L99" s="326">
        <f t="shared" si="37"/>
        <v>11500000</v>
      </c>
      <c r="M99" s="326">
        <f t="shared" si="37"/>
        <v>11711550</v>
      </c>
      <c r="N99" s="326" t="e">
        <f t="shared" si="37"/>
        <v>#REF!</v>
      </c>
      <c r="O99" s="394">
        <f t="shared" si="37"/>
        <v>4500000</v>
      </c>
      <c r="P99" s="340" t="e">
        <f t="shared" si="33"/>
        <v>#REF!</v>
      </c>
      <c r="Q99"/>
      <c r="R99"/>
      <c r="S99"/>
      <c r="T99"/>
      <c r="U99"/>
      <c r="AD99"/>
      <c r="AE99"/>
    </row>
    <row r="100" spans="1:32" s="5" customFormat="1">
      <c r="A100" s="436" t="s">
        <v>600</v>
      </c>
      <c r="B100" s="326">
        <f t="shared" ref="B100:O100" si="38">SUM(B46:B48)</f>
        <v>955500</v>
      </c>
      <c r="C100" s="326">
        <f t="shared" si="38"/>
        <v>846300</v>
      </c>
      <c r="D100" s="326">
        <f t="shared" si="38"/>
        <v>361250</v>
      </c>
      <c r="E100" s="326">
        <f t="shared" si="38"/>
        <v>1155000</v>
      </c>
      <c r="F100" s="326">
        <f t="shared" si="38"/>
        <v>0</v>
      </c>
      <c r="G100" s="326">
        <f t="shared" si="38"/>
        <v>0</v>
      </c>
      <c r="H100" s="326">
        <f t="shared" si="38"/>
        <v>447000</v>
      </c>
      <c r="I100" s="326">
        <f t="shared" si="38"/>
        <v>447000</v>
      </c>
      <c r="J100" s="326">
        <f t="shared" si="38"/>
        <v>3546000</v>
      </c>
      <c r="K100" s="326">
        <f t="shared" si="38"/>
        <v>0</v>
      </c>
      <c r="L100" s="326">
        <f t="shared" si="38"/>
        <v>1207500</v>
      </c>
      <c r="M100" s="326">
        <f t="shared" si="38"/>
        <v>0</v>
      </c>
      <c r="N100" s="326">
        <f t="shared" si="38"/>
        <v>0</v>
      </c>
      <c r="O100" s="394">
        <f t="shared" si="38"/>
        <v>0</v>
      </c>
      <c r="P100" s="340">
        <f t="shared" si="33"/>
        <v>8965550</v>
      </c>
      <c r="Q100"/>
      <c r="R100"/>
      <c r="S100"/>
      <c r="T100"/>
      <c r="U100"/>
      <c r="AD100" s="287"/>
      <c r="AE100"/>
    </row>
    <row r="101" spans="1:32" s="5" customFormat="1">
      <c r="A101" s="436" t="s">
        <v>848</v>
      </c>
      <c r="B101" s="326">
        <f t="shared" ref="B101:O101" si="39">IF(OR(B20="A",B20="C"),B99-B100,B99)</f>
        <v>8996812</v>
      </c>
      <c r="C101" s="326" t="e">
        <f t="shared" si="39"/>
        <v>#REF!</v>
      </c>
      <c r="D101" s="326">
        <f t="shared" si="39"/>
        <v>14088750</v>
      </c>
      <c r="E101" s="326">
        <f t="shared" si="39"/>
        <v>11949701</v>
      </c>
      <c r="F101" s="326">
        <f t="shared" si="39"/>
        <v>16657534</v>
      </c>
      <c r="G101" s="326">
        <f t="shared" si="39"/>
        <v>29006250</v>
      </c>
      <c r="H101" s="326" t="e">
        <f t="shared" si="39"/>
        <v>#REF!</v>
      </c>
      <c r="I101" s="326">
        <f t="shared" si="39"/>
        <v>90499500</v>
      </c>
      <c r="J101" s="326">
        <f t="shared" si="39"/>
        <v>67954000</v>
      </c>
      <c r="K101" s="326">
        <f t="shared" si="39"/>
        <v>13000000</v>
      </c>
      <c r="L101" s="326">
        <f t="shared" si="39"/>
        <v>10292500</v>
      </c>
      <c r="M101" s="326">
        <f t="shared" si="39"/>
        <v>11711550</v>
      </c>
      <c r="N101" s="326" t="e">
        <f t="shared" si="39"/>
        <v>#REF!</v>
      </c>
      <c r="O101" s="394">
        <f t="shared" si="39"/>
        <v>4500000</v>
      </c>
      <c r="P101" s="340" t="e">
        <f t="shared" si="33"/>
        <v>#REF!</v>
      </c>
      <c r="Q101"/>
      <c r="R101"/>
      <c r="S101"/>
      <c r="T101"/>
      <c r="U101"/>
      <c r="AD101" s="287"/>
      <c r="AE101"/>
    </row>
    <row r="102" spans="1:32" s="5" customFormat="1">
      <c r="A102" s="436" t="s">
        <v>849</v>
      </c>
      <c r="B102" s="326">
        <f t="shared" ref="B102:O102" si="40">IF(OR(B20="A",B20="C"),MAX(B101-B23-B22*B21,0),B101)</f>
        <v>0</v>
      </c>
      <c r="C102" s="326" t="e">
        <f t="shared" si="40"/>
        <v>#REF!</v>
      </c>
      <c r="D102" s="326">
        <f t="shared" si="40"/>
        <v>5088750</v>
      </c>
      <c r="E102" s="326">
        <f t="shared" si="40"/>
        <v>11949701</v>
      </c>
      <c r="F102" s="326">
        <f t="shared" si="40"/>
        <v>16657534</v>
      </c>
      <c r="G102" s="326">
        <f t="shared" si="40"/>
        <v>20006250</v>
      </c>
      <c r="H102" s="326" t="e">
        <f t="shared" si="40"/>
        <v>#REF!</v>
      </c>
      <c r="I102" s="326">
        <f t="shared" si="40"/>
        <v>90499500</v>
      </c>
      <c r="J102" s="326">
        <f t="shared" si="40"/>
        <v>58954000</v>
      </c>
      <c r="K102" s="326">
        <f t="shared" si="40"/>
        <v>4000000</v>
      </c>
      <c r="L102" s="326">
        <f t="shared" si="40"/>
        <v>1292500</v>
      </c>
      <c r="M102" s="326">
        <f t="shared" si="40"/>
        <v>2711550</v>
      </c>
      <c r="N102" s="326" t="e">
        <f t="shared" si="40"/>
        <v>#REF!</v>
      </c>
      <c r="O102" s="394">
        <f t="shared" si="40"/>
        <v>4500000</v>
      </c>
      <c r="P102" s="340" t="e">
        <f t="shared" si="33"/>
        <v>#REF!</v>
      </c>
      <c r="Q102"/>
      <c r="R102"/>
      <c r="S102"/>
      <c r="T102"/>
      <c r="U102"/>
      <c r="AD102" s="287"/>
      <c r="AE102"/>
    </row>
    <row r="103" spans="1:32" s="5" customFormat="1">
      <c r="A103" s="436" t="s">
        <v>851</v>
      </c>
      <c r="B103" s="326">
        <f>IF(OR(B20="A",B20="C"),ROUND(MAX(B102*{5;10;15;20;25;30;35}%-{0;0.25;0.75;1.65;3.25;5.85;9.85}*1000000,0),0),IF(B20="B",IF(B102&lt;2000000,0,ROUND(B102*10%,0)),ROUND(B102*20%,0)))</f>
        <v>0</v>
      </c>
      <c r="C103" s="326" t="e">
        <f>IF(OR(C20="A",C20="C"),ROUND(MAX(C102*{5;10;15;20;25;30;35}%-{0;0.25;0.75;1.65;3.25;5.85;9.85}*1000000,0),0),IF(C20="B",IF(C102&lt;2000000,0,ROUND(C102*10%,0)),ROUND(C102*20%,0)))</f>
        <v>#REF!</v>
      </c>
      <c r="D103" s="326">
        <f>IF(OR(D20="A",D20="C"),ROUND(MAX(D102*{5;10;15;20;25;30;35}%-{0;0.25;0.75;1.65;3.25;5.85;9.85}*1000000,0),0),IF(D20="B",IF(D102&lt;2000000,0,ROUND(D102*10%,0)),ROUND(D102*20%,0)))</f>
        <v>258875</v>
      </c>
      <c r="E103" s="326">
        <f>IF(OR(E20="A",E20="C"),ROUND(MAX(E102*{5;10;15;20;25;30;35}%-{0;0.25;0.75;1.65;3.25;5.85;9.85}*1000000,0),0),IF(E20="B",IF(E102&lt;2000000,0,ROUND(E102*10%,0)),ROUND(E102*20%,0)))</f>
        <v>1194970</v>
      </c>
      <c r="F103" s="326">
        <f>IF(OR(F20="A",F20="C"),ROUND(MAX(F102*{5;10;15;20;25;30;35}%-{0;0.25;0.75;1.65;3.25;5.85;9.85}*1000000,0),0),IF(F20="B",IF(F102&lt;2000000,0,ROUND(F102*10%,0)),ROUND(F102*20%,0)))</f>
        <v>1665753</v>
      </c>
      <c r="G103" s="326">
        <f>IF(OR(G20="A",G20="C"),ROUND(MAX(G102*{5;10;15;20;25;30;35}%-{0;0.25;0.75;1.65;3.25;5.85;9.85}*1000000,0),0),IF(G20="B",IF(G102&lt;2000000,0,ROUND(G102*10%,0)),ROUND(G102*20%,0)))</f>
        <v>2351250</v>
      </c>
      <c r="H103" s="326" t="e">
        <f>IF(OR(H20="A",H20="C"),ROUND(MAX(H102*{5;10;15;20;25;30;35}%-{0;0.25;0.75;1.65;3.25;5.85;9.85}*1000000,0),0),IF(H20="B",IF(H102&lt;2000000,0,ROUND(H102*10%,0)),ROUND(H102*20%,0)))</f>
        <v>#REF!</v>
      </c>
      <c r="I103" s="326">
        <f>IF(OR(I20="A",I20="C"),ROUND(MAX(I102*{5;10;15;20;25;30;35}%-{0;0.25;0.75;1.65;3.25;5.85;9.85}*1000000,0),0),IF(I20="B",IF(I102&lt;2000000,0,ROUND(I102*10%,0)),ROUND(I102*20%,0)))</f>
        <v>18099900</v>
      </c>
      <c r="J103" s="326">
        <f>IF(OR(J20="A",J20="C"),ROUND(MAX(J102*{5;10;15;20;25;30;35}%-{0;0.25;0.75;1.65;3.25;5.85;9.85}*1000000,0),0),IF(J20="B",IF(J102&lt;2000000,0,ROUND(J102*10%,0)),ROUND(J102*20%,0)))</f>
        <v>11836200</v>
      </c>
      <c r="K103" s="326">
        <f>IF(OR(K20="A",K20="C"),ROUND(MAX(K102*{5;10;15;20;25;30;35}%-{0;0.25;0.75;1.65;3.25;5.85;9.85}*1000000,0),0),IF(K20="B",IF(K102&lt;2000000,0,ROUND(K102*10%,0)),ROUND(K102*20%,0)))</f>
        <v>200000</v>
      </c>
      <c r="L103" s="326">
        <f>IF(OR(L20="A",L20="C"),ROUND(MAX(L102*{5;10;15;20;25;30;35}%-{0;0.25;0.75;1.65;3.25;5.85;9.85}*1000000,0),0),IF(L20="B",IF(L102&lt;2000000,0,ROUND(L102*10%,0)),ROUND(L102*20%,0)))</f>
        <v>64625</v>
      </c>
      <c r="M103" s="326">
        <f>IF(OR(M20="A",M20="C"),ROUND(MAX(M102*{5;10;15;20;25;30;35}%-{0;0.25;0.75;1.65;3.25;5.85;9.85}*1000000,0),0),IF(M20="B",IF(M102&lt;2000000,0,ROUND(M102*10%,0)),ROUND(M102*20%,0)))</f>
        <v>135578</v>
      </c>
      <c r="N103" s="326" t="e">
        <f>IF(OR(N20="A",N20="C"),ROUND(MAX(N102*{5;10;15;20;25;30;35}%-{0;0.25;0.75;1.65;3.25;5.85;9.85}*1000000,0),0),IF(N20="B",IF(N102&lt;2000000,0,ROUND(N102*10%,0)),ROUND(N102*20%,0)))</f>
        <v>#REF!</v>
      </c>
      <c r="O103" s="394">
        <f>IF(OR(O20="A",O20="C"),ROUND(MAX(O102*{5;10;15;20;25;30;35}%-{0;0.25;0.75;1.65;3.25;5.85;9.85}*1000000,0),0),IF(O20="B",IF(O102&lt;2000000,0,ROUND(O102*10%,0)),ROUND(O102*20%,0)))</f>
        <v>450000</v>
      </c>
      <c r="P103" s="340" t="e">
        <f t="shared" si="33"/>
        <v>#REF!</v>
      </c>
      <c r="Q103"/>
      <c r="R103"/>
      <c r="S103"/>
      <c r="T103"/>
      <c r="U103"/>
      <c r="AD103" s="287"/>
      <c r="AE103"/>
    </row>
    <row r="104" spans="1:32" s="5" customFormat="1">
      <c r="A104" s="436" t="s">
        <v>866</v>
      </c>
      <c r="B104" s="326">
        <f>B99+'UAT10-Oct'!B140</f>
        <v>154844644</v>
      </c>
      <c r="C104" s="326" t="e">
        <f>C99+'UAT10-Oct'!C140</f>
        <v>#REF!</v>
      </c>
      <c r="D104" s="326">
        <f>D99+'UAT10-Oct'!D140</f>
        <v>107671713</v>
      </c>
      <c r="E104" s="326">
        <f>E99+'UAT10-Oct'!E140</f>
        <v>186704707</v>
      </c>
      <c r="F104" s="326">
        <f>F99+'UAT10-Oct'!F140</f>
        <v>166657534</v>
      </c>
      <c r="G104" s="326">
        <f>G99+'UAT10-Oct'!G140</f>
        <v>699328075</v>
      </c>
      <c r="H104" s="326" t="e">
        <f>H99+'UAT10-Oct'!H140</f>
        <v>#REF!</v>
      </c>
      <c r="I104" s="326">
        <f>I99+'UAT10-Oct'!I140</f>
        <v>886865612</v>
      </c>
      <c r="J104" s="326">
        <f>J99+'UAT10-Oct'!J140</f>
        <v>471073914</v>
      </c>
      <c r="K104" s="326">
        <f>K99+'UAT10-Oct'!K140</f>
        <v>170581558</v>
      </c>
      <c r="L104" s="326">
        <f>L99+'UAT10-Oct'!L140</f>
        <v>544151070</v>
      </c>
      <c r="M104" s="326">
        <f>M99+'UAT10-Oct'!M140</f>
        <v>138807740</v>
      </c>
      <c r="N104" s="326" t="e">
        <f>N99+'UAT10-Oct'!N140</f>
        <v>#REF!</v>
      </c>
      <c r="O104" s="326">
        <f>O99+'UAT10-Oct'!O140</f>
        <v>45295448</v>
      </c>
      <c r="P104" s="340" t="e">
        <f t="shared" si="33"/>
        <v>#REF!</v>
      </c>
      <c r="Q104"/>
      <c r="R104"/>
      <c r="S104"/>
      <c r="T104"/>
      <c r="U104"/>
      <c r="AD104" s="287"/>
      <c r="AE104"/>
    </row>
    <row r="105" spans="1:32" s="5" customFormat="1">
      <c r="A105" s="436" t="s">
        <v>486</v>
      </c>
      <c r="B105" s="326">
        <f>B103+'UAT10-Oct'!B141</f>
        <v>2276309</v>
      </c>
      <c r="C105" s="326" t="e">
        <f>C103+'UAT10-Oct'!C141</f>
        <v>#REF!</v>
      </c>
      <c r="D105" s="326">
        <f>D103+'UAT10-Oct'!D141</f>
        <v>1196587</v>
      </c>
      <c r="E105" s="326">
        <f>E103+'UAT10-Oct'!E141</f>
        <v>19356059</v>
      </c>
      <c r="F105" s="326">
        <f>F103+'UAT10-Oct'!F141</f>
        <v>16665753</v>
      </c>
      <c r="G105" s="326">
        <f>G103+'UAT10-Oct'!G141</f>
        <v>132318898</v>
      </c>
      <c r="H105" s="326" t="e">
        <f>H103+'UAT10-Oct'!H141</f>
        <v>#REF!</v>
      </c>
      <c r="I105" s="326">
        <f>I103+'UAT10-Oct'!I141</f>
        <v>177373123</v>
      </c>
      <c r="J105" s="326">
        <f>J103+'UAT10-Oct'!J141</f>
        <v>54764839</v>
      </c>
      <c r="K105" s="326">
        <f>K103+'UAT10-Oct'!K141</f>
        <v>7085904</v>
      </c>
      <c r="L105" s="326">
        <f>L103+'UAT10-Oct'!L141</f>
        <v>89413482</v>
      </c>
      <c r="M105" s="326">
        <f>M103+'UAT10-Oct'!M141</f>
        <v>4078854</v>
      </c>
      <c r="N105" s="326" t="e">
        <f>N103+'UAT10-Oct'!N141</f>
        <v>#REF!</v>
      </c>
      <c r="O105" s="394">
        <f>O103+'UAT10-Oct'!O141</f>
        <v>4529545</v>
      </c>
      <c r="P105" s="340" t="e">
        <f t="shared" si="33"/>
        <v>#REF!</v>
      </c>
      <c r="Q105"/>
      <c r="R105"/>
      <c r="S105"/>
      <c r="T105"/>
      <c r="U105"/>
      <c r="AD105" s="287"/>
      <c r="AE105" s="81"/>
      <c r="AF105" s="80"/>
    </row>
    <row r="106" spans="1:32">
      <c r="A106" s="436" t="s">
        <v>487</v>
      </c>
      <c r="B106" s="326">
        <f>B100+'UAT10-Oct'!B142</f>
        <v>9660000</v>
      </c>
      <c r="C106" s="326">
        <f>C100+'UAT10-Oct'!C142</f>
        <v>9072525</v>
      </c>
      <c r="D106" s="326">
        <f>D100+'UAT10-Oct'!D142</f>
        <v>2035000</v>
      </c>
      <c r="E106" s="326">
        <f>E100+'UAT10-Oct'!E142</f>
        <v>9930000</v>
      </c>
      <c r="F106" s="326">
        <f>F100+'UAT10-Oct'!F142</f>
        <v>0</v>
      </c>
      <c r="G106" s="326">
        <f>G100+'UAT10-Oct'!G142</f>
        <v>2622000</v>
      </c>
      <c r="H106" s="326">
        <f>H100+'UAT10-Oct'!H142</f>
        <v>4737000</v>
      </c>
      <c r="I106" s="326">
        <f>I100+'UAT10-Oct'!I142</f>
        <v>4320000</v>
      </c>
      <c r="J106" s="326">
        <f>J100+'UAT10-Oct'!J142</f>
        <v>31843000</v>
      </c>
      <c r="K106" s="326">
        <f>K100+'UAT10-Oct'!K142</f>
        <v>0</v>
      </c>
      <c r="L106" s="326">
        <f>L100+'UAT10-Oct'!L142</f>
        <v>25732500</v>
      </c>
      <c r="M106" s="326">
        <f>M100+'UAT10-Oct'!M142</f>
        <v>0</v>
      </c>
      <c r="N106" s="326">
        <f>N100+'UAT10-Oct'!N142</f>
        <v>0</v>
      </c>
      <c r="O106" s="394">
        <f>O100+'UAT10-Oct'!O142</f>
        <v>0</v>
      </c>
      <c r="P106" s="340">
        <f t="shared" si="33"/>
        <v>99952025</v>
      </c>
      <c r="AD106" s="287"/>
      <c r="AE106" s="81"/>
      <c r="AF106" s="81"/>
    </row>
    <row r="107" spans="1:32">
      <c r="A107" s="436"/>
      <c r="B107" s="326"/>
      <c r="C107" s="326"/>
      <c r="D107" s="326"/>
      <c r="E107" s="326"/>
      <c r="F107" s="326"/>
      <c r="G107" s="326"/>
      <c r="H107" s="326"/>
      <c r="I107" s="326"/>
      <c r="J107" s="326"/>
      <c r="K107" s="326"/>
      <c r="L107" s="326"/>
      <c r="M107" s="326"/>
      <c r="N107" s="326"/>
      <c r="O107" s="394"/>
      <c r="P107" s="533"/>
      <c r="AD107" s="287"/>
      <c r="AE107" s="81"/>
      <c r="AF107" s="81"/>
    </row>
    <row r="108" spans="1:32" ht="15.6">
      <c r="A108" s="404" t="s">
        <v>919</v>
      </c>
      <c r="B108" s="326"/>
      <c r="C108" s="326"/>
      <c r="D108" s="326"/>
      <c r="E108" s="326"/>
      <c r="F108" s="326"/>
      <c r="G108" s="326"/>
      <c r="H108" s="326"/>
      <c r="I108" s="326"/>
      <c r="J108" s="326"/>
      <c r="K108" s="326"/>
      <c r="L108" s="326"/>
      <c r="M108" s="326"/>
      <c r="N108" s="326"/>
      <c r="O108" s="394"/>
      <c r="P108" s="340"/>
      <c r="AD108" s="287"/>
      <c r="AE108" s="81"/>
      <c r="AF108" s="81"/>
    </row>
    <row r="109" spans="1:32">
      <c r="A109" s="436" t="s">
        <v>857</v>
      </c>
      <c r="B109" s="326">
        <f t="shared" ref="B109:O109" si="41">B102-B103+B35</f>
        <v>0</v>
      </c>
      <c r="C109" s="326" t="e">
        <f t="shared" si="41"/>
        <v>#REF!</v>
      </c>
      <c r="D109" s="326">
        <f t="shared" si="41"/>
        <v>4829875</v>
      </c>
      <c r="E109" s="326">
        <f t="shared" si="41"/>
        <v>10754731</v>
      </c>
      <c r="F109" s="326">
        <f t="shared" si="41"/>
        <v>14991781</v>
      </c>
      <c r="G109" s="326">
        <f t="shared" si="41"/>
        <v>17655000</v>
      </c>
      <c r="H109" s="326" t="e">
        <f t="shared" si="41"/>
        <v>#REF!</v>
      </c>
      <c r="I109" s="326">
        <f t="shared" si="41"/>
        <v>72399600</v>
      </c>
      <c r="J109" s="326">
        <f t="shared" si="41"/>
        <v>47117800</v>
      </c>
      <c r="K109" s="326">
        <f t="shared" si="41"/>
        <v>3800000</v>
      </c>
      <c r="L109" s="326">
        <f t="shared" si="41"/>
        <v>1227875</v>
      </c>
      <c r="M109" s="326">
        <f t="shared" si="41"/>
        <v>2575972</v>
      </c>
      <c r="N109" s="326" t="e">
        <f t="shared" si="41"/>
        <v>#REF!</v>
      </c>
      <c r="O109" s="394">
        <f t="shared" si="41"/>
        <v>4050000</v>
      </c>
      <c r="P109" s="340" t="e">
        <f>SUM(B109:O109)</f>
        <v>#REF!</v>
      </c>
      <c r="AD109" s="287"/>
      <c r="AE109" s="81"/>
      <c r="AF109" s="81"/>
    </row>
    <row r="110" spans="1:32">
      <c r="A110" s="436" t="s">
        <v>858</v>
      </c>
      <c r="B110" s="326">
        <f>IF(OR(B20="A",B20="C"),ROUND(MAX((B109-{0;0.25;0.75;1.65;3.25;5.85;9.85}*1000000)/(1-{5;10;15;20;25;30;35}%),0),0),IF(B20="B",B109/(1-10%),B109/(1-20%)))</f>
        <v>0</v>
      </c>
      <c r="C110" s="326" t="e">
        <f>IF(OR(C20="A",C20="C"),ROUND(MAX((C109-{0;0.25;0.75;1.65;3.25;5.85;9.85}*1000000)/(1-{5;10;15;20;25;30;35}%),0),0),IF(C20="B",C109/(1-10%),C109/(1-20%)))</f>
        <v>#REF!</v>
      </c>
      <c r="D110" s="326">
        <f>IF(OR(D20="A",D20="C"),ROUND(MAX((D109-{0;0.25;0.75;1.65;3.25;5.85;9.85}*1000000)/(1-{5;10;15;20;25;30;35}%),0),0),IF(D20="B",D109/(1-10%),D109/(1-20%)))</f>
        <v>5088750</v>
      </c>
      <c r="E110" s="326">
        <f>IF(OR(E20="A",E20="C"),ROUND(MAX((E109-{0;0.25;0.75;1.65;3.25;5.85;9.85}*1000000)/(1-{5;10;15;20;25;30;35}%),0),0),IF(E20="B",E109/(1-10%),E109/(1-20%)))</f>
        <v>11949701.11111111</v>
      </c>
      <c r="F110" s="326">
        <f>IF(OR(F20="A",F20="C"),ROUND(MAX((F109-{0;0.25;0.75;1.65;3.25;5.85;9.85}*1000000)/(1-{5;10;15;20;25;30;35}%),0),0),IF(F20="B",F109/(1-10%),F109/(1-20%)))</f>
        <v>16657534.444444444</v>
      </c>
      <c r="G110" s="326">
        <f>IF(OR(G20="A",G20="C"),ROUND(MAX((G109-{0;0.25;0.75;1.65;3.25;5.85;9.85}*1000000)/(1-{5;10;15;20;25;30;35}%),0),0),IF(G20="B",G109/(1-10%),G109/(1-20%)))</f>
        <v>20006250</v>
      </c>
      <c r="H110" s="326" t="e">
        <f>IF(OR(H20="A",H20="C"),ROUND(MAX((H109-{0;0.25;0.75;1.65;3.25;5.85;9.85}*1000000)/(1-{5;10;15;20;25;30;35}%),0),0),IF(H20="B",H109/(1-10%),H109/(1-20%)))</f>
        <v>#REF!</v>
      </c>
      <c r="I110" s="326">
        <f>IF(OR(I20="A",I20="C"),ROUND(MAX((I109-{0;0.25;0.75;1.65;3.25;5.85;9.85}*1000000)/(1-{5;10;15;20;25;30;35}%),0),0),IF(I20="B",I109/(1-10%),I109/(1-20%)))</f>
        <v>90499500</v>
      </c>
      <c r="J110" s="326">
        <f>IF(OR(J20="A",J20="C"),ROUND(MAX((J109-{0;0.25;0.75;1.65;3.25;5.85;9.85}*1000000)/(1-{5;10;15;20;25;30;35}%),0),0),IF(J20="B",J109/(1-10%),J109/(1-20%)))</f>
        <v>58954000</v>
      </c>
      <c r="K110" s="326">
        <f>IF(OR(K20="A",K20="C"),ROUND(MAX((K109-{0;0.25;0.75;1.65;3.25;5.85;9.85}*1000000)/(1-{5;10;15;20;25;30;35}%),0),0),IF(K20="B",K109/(1-10%),K109/(1-20%)))</f>
        <v>4000000</v>
      </c>
      <c r="L110" s="326">
        <f>IF(OR(L20="A",L20="C"),ROUND(MAX((L109-{0;0.25;0.75;1.65;3.25;5.85;9.85}*1000000)/(1-{5;10;15;20;25;30;35}%),0),0),IF(L20="B",L109/(1-10%),L109/(1-20%)))</f>
        <v>1292500</v>
      </c>
      <c r="M110" s="326">
        <f>IF(OR(M20="A",M20="C"),ROUND(MAX((M109-{0;0.25;0.75;1.65;3.25;5.85;9.85}*1000000)/(1-{5;10;15;20;25;30;35}%),0),0),IF(M20="B",M109/(1-10%),M109/(1-20%)))</f>
        <v>2711549</v>
      </c>
      <c r="N110" s="326" t="e">
        <f>IF(OR(N20="A",N20="C"),ROUND(MAX((N109-{0;0.25;0.75;1.65;3.25;5.85;9.85}*1000000)/(1-{5;10;15;20;25;30;35}%),0),0),IF(N20="B",N109/(1-10%),N109/(1-20%)))</f>
        <v>#REF!</v>
      </c>
      <c r="O110" s="394">
        <f>IF(OR(O20="A",O20="C"),ROUND(MAX((O109-{0;0.25;0.75;1.65;3.25;5.85;9.85}*1000000)/(1-{5;10;15;20;25;30;35}%),0),0),IF(O20="B",O109/(1-10%),O109/(1-20%)))</f>
        <v>4500000</v>
      </c>
      <c r="P110" s="340" t="e">
        <f>SUM(B110:O110)</f>
        <v>#REF!</v>
      </c>
      <c r="AD110" s="287"/>
      <c r="AE110" s="81"/>
      <c r="AF110" s="81"/>
    </row>
    <row r="111" spans="1:32">
      <c r="A111" s="436" t="s">
        <v>859</v>
      </c>
      <c r="B111" s="326">
        <f t="shared" ref="B111:O111" si="42">IF(OR(B20="A",B20="C"),IF(B110=0,0,B110+B100+B22*B21+B23),B110)</f>
        <v>0</v>
      </c>
      <c r="C111" s="326" t="e">
        <f t="shared" si="42"/>
        <v>#REF!</v>
      </c>
      <c r="D111" s="326">
        <f t="shared" si="42"/>
        <v>14450000</v>
      </c>
      <c r="E111" s="326">
        <f t="shared" si="42"/>
        <v>11949701.11111111</v>
      </c>
      <c r="F111" s="326">
        <f t="shared" si="42"/>
        <v>16657534.444444444</v>
      </c>
      <c r="G111" s="326">
        <f t="shared" si="42"/>
        <v>29006250</v>
      </c>
      <c r="H111" s="326" t="e">
        <f t="shared" si="42"/>
        <v>#REF!</v>
      </c>
      <c r="I111" s="326">
        <f t="shared" si="42"/>
        <v>90499500</v>
      </c>
      <c r="J111" s="326">
        <f t="shared" si="42"/>
        <v>71500000</v>
      </c>
      <c r="K111" s="326">
        <f t="shared" si="42"/>
        <v>13000000</v>
      </c>
      <c r="L111" s="326">
        <f t="shared" si="42"/>
        <v>11500000</v>
      </c>
      <c r="M111" s="326">
        <f t="shared" si="42"/>
        <v>11711549</v>
      </c>
      <c r="N111" s="326" t="e">
        <f t="shared" si="42"/>
        <v>#REF!</v>
      </c>
      <c r="O111" s="394">
        <f t="shared" si="42"/>
        <v>4500000</v>
      </c>
      <c r="P111" s="340" t="e">
        <f>SUM(B111:O111)</f>
        <v>#REF!</v>
      </c>
      <c r="AD111" s="287"/>
      <c r="AE111" s="81"/>
      <c r="AF111" s="81"/>
    </row>
    <row r="112" spans="1:32">
      <c r="A112" s="436" t="s">
        <v>485</v>
      </c>
      <c r="B112" s="326">
        <f>IF(OR(B20="A",B20="C"),ROUND(MAX(B110*{5;10;15;20;25;30;35}%-{0;0.25;0.75;1.65;3.25;5.85;9.85}*1000000,0),0),IF(B20="B",IF(B110&lt;2000000,0,ROUND(B110*10%,0)),ROUND(B110*20%,0)))</f>
        <v>0</v>
      </c>
      <c r="C112" s="326" t="e">
        <f>IF(OR(C20="A",C20="C"),ROUND(MAX(C110*{5;10;15;20;25;30;35}%-{0;0.25;0.75;1.65;3.25;5.85;9.85}*1000000,0),0),IF(C20="B",IF(C110&lt;2000000,0,ROUND(C110*10%,0)),ROUND(C110*20%,0)))</f>
        <v>#REF!</v>
      </c>
      <c r="D112" s="326">
        <f>IF(OR(D20="A",D20="C"),ROUND(MAX(D110*{5;10;15;20;25;30;35}%-{0;0.25;0.75;1.65;3.25;5.85;9.85}*1000000,0),0),IF(D20="B",IF(D110&lt;2000000,0,ROUND(D110*10%,0)),ROUND(D110*20%,0)))</f>
        <v>258875</v>
      </c>
      <c r="E112" s="326">
        <f>IF(OR(E20="A",E20="C"),ROUND(MAX(E110*{5;10;15;20;25;30;35}%-{0;0.25;0.75;1.65;3.25;5.85;9.85}*1000000,0),0),IF(E20="B",IF(E110&lt;2000000,0,ROUND(E110*10%,0)),ROUND(E110*20%,0)))</f>
        <v>1194970</v>
      </c>
      <c r="F112" s="326">
        <f>IF(OR(F20="A",F20="C"),ROUND(MAX(F110*{5;10;15;20;25;30;35}%-{0;0.25;0.75;1.65;3.25;5.85;9.85}*1000000,0),0),IF(F20="B",IF(F110&lt;2000000,0,ROUND(F110*10%,0)),ROUND(F110*20%,0)))</f>
        <v>1665753</v>
      </c>
      <c r="G112" s="326">
        <f>IF(OR(G20="A",G20="C"),ROUND(MAX(G110*{5;10;15;20;25;30;35}%-{0;0.25;0.75;1.65;3.25;5.85;9.85}*1000000,0),0),IF(G20="B",IF(G110&lt;2000000,0,ROUND(G110*10%,0)),ROUND(G110*20%,0)))</f>
        <v>2351250</v>
      </c>
      <c r="H112" s="326" t="e">
        <f>IF(OR(H20="A",H20="C"),ROUND(MAX(H110*{5;10;15;20;25;30;35}%-{0;0.25;0.75;1.65;3.25;5.85;9.85}*1000000,0),0),IF(H20="B",IF(H110&lt;2000000,0,ROUND(H110*10%,0)),ROUND(H110*20%,0)))</f>
        <v>#REF!</v>
      </c>
      <c r="I112" s="326">
        <f>IF(OR(I20="A",I20="C"),ROUND(MAX(I110*{5;10;15;20;25;30;35}%-{0;0.25;0.75;1.65;3.25;5.85;9.85}*1000000,0),0),IF(I20="B",IF(I110&lt;2000000,0,ROUND(I110*10%,0)),ROUND(I110*20%,0)))</f>
        <v>18099900</v>
      </c>
      <c r="J112" s="326">
        <f>IF(OR(J20="A",J20="C"),ROUND(MAX(J110*{5;10;15;20;25;30;35}%-{0;0.25;0.75;1.65;3.25;5.85;9.85}*1000000,0),0),IF(J20="B",IF(J110&lt;2000000,0,ROUND(J110*10%,0)),ROUND(J110*20%,0)))</f>
        <v>11836200</v>
      </c>
      <c r="K112" s="326">
        <f>IF(OR(K20="A",K20="C"),ROUND(MAX(K110*{5;10;15;20;25;30;35}%-{0;0.25;0.75;1.65;3.25;5.85;9.85}*1000000,0),0),IF(K20="B",IF(K110&lt;2000000,0,ROUND(K110*10%,0)),ROUND(K110*20%,0)))</f>
        <v>200000</v>
      </c>
      <c r="L112" s="326">
        <f>IF(OR(L20="A",L20="C"),ROUND(MAX(L110*{5;10;15;20;25;30;35}%-{0;0.25;0.75;1.65;3.25;5.85;9.85}*1000000,0),0),IF(L20="B",IF(L110&lt;2000000,0,ROUND(L110*10%,0)),ROUND(L110*20%,0)))</f>
        <v>64625</v>
      </c>
      <c r="M112" s="326">
        <f>IF(OR(M20="A",M20="C"),ROUND(MAX(M110*{5;10;15;20;25;30;35}%-{0;0.25;0.75;1.65;3.25;5.85;9.85}*1000000,0),0),IF(M20="B",IF(M110&lt;2000000,0,ROUND(M110*10%,0)),ROUND(M110*20%,0)))</f>
        <v>135577</v>
      </c>
      <c r="N112" s="326" t="e">
        <f>IF(OR(N20="A",N20="C"),ROUND(MAX(N110*{5;10;15;20;25;30;35}%-{0;0.25;0.75;1.65;3.25;5.85;9.85}*1000000,0),0),IF(N20="B",IF(N110&lt;2000000,0,ROUND(N110*10%,0)),ROUND(N110*20%,0)))</f>
        <v>#REF!</v>
      </c>
      <c r="O112" s="394">
        <f>IF(OR(O20="A",O20="C"),ROUND(MAX(O110*{5;10;15;20;25;30;35}%-{0;0.25;0.75;1.65;3.25;5.85;9.85}*1000000,0),0),IF(O20="B",IF(O110&lt;2000000,0,ROUND(O110*10%,0)),ROUND(O110*20%,0)))</f>
        <v>450000</v>
      </c>
      <c r="P112" s="340" t="e">
        <f>SUM(B112:O112)</f>
        <v>#REF!</v>
      </c>
      <c r="AD112" s="287"/>
      <c r="AE112" s="81"/>
      <c r="AF112" s="81"/>
    </row>
    <row r="113" spans="1:32">
      <c r="A113" s="436" t="s">
        <v>850</v>
      </c>
      <c r="B113" s="326">
        <f t="shared" ref="B113:O113" si="43">B112-B103</f>
        <v>0</v>
      </c>
      <c r="C113" s="326" t="e">
        <f t="shared" si="43"/>
        <v>#REF!</v>
      </c>
      <c r="D113" s="326">
        <f t="shared" si="43"/>
        <v>0</v>
      </c>
      <c r="E113" s="326">
        <f t="shared" si="43"/>
        <v>0</v>
      </c>
      <c r="F113" s="326">
        <f t="shared" si="43"/>
        <v>0</v>
      </c>
      <c r="G113" s="326">
        <f t="shared" si="43"/>
        <v>0</v>
      </c>
      <c r="H113" s="326" t="e">
        <f t="shared" si="43"/>
        <v>#REF!</v>
      </c>
      <c r="I113" s="326">
        <f t="shared" si="43"/>
        <v>0</v>
      </c>
      <c r="J113" s="326">
        <f t="shared" si="43"/>
        <v>0</v>
      </c>
      <c r="K113" s="326">
        <f t="shared" si="43"/>
        <v>0</v>
      </c>
      <c r="L113" s="326">
        <f t="shared" si="43"/>
        <v>0</v>
      </c>
      <c r="M113" s="326">
        <v>0</v>
      </c>
      <c r="N113" s="326" t="e">
        <f t="shared" si="43"/>
        <v>#REF!</v>
      </c>
      <c r="O113" s="394">
        <f t="shared" si="43"/>
        <v>0</v>
      </c>
      <c r="P113" s="340" t="e">
        <f>SUM(B113:O113)</f>
        <v>#REF!</v>
      </c>
      <c r="AD113" s="287"/>
      <c r="AE113" s="81"/>
      <c r="AF113" s="81"/>
    </row>
    <row r="114" spans="1:32">
      <c r="A114" s="436"/>
      <c r="B114" s="326"/>
      <c r="C114" s="326"/>
      <c r="D114" s="326"/>
      <c r="E114" s="326"/>
      <c r="F114" s="326"/>
      <c r="G114" s="326"/>
      <c r="H114" s="326"/>
      <c r="I114" s="326"/>
      <c r="J114" s="326"/>
      <c r="K114" s="326"/>
      <c r="L114" s="326"/>
      <c r="M114" s="326"/>
      <c r="N114" s="326"/>
      <c r="O114" s="394"/>
      <c r="P114" s="340"/>
      <c r="AD114" s="287"/>
      <c r="AE114" s="81"/>
      <c r="AF114" s="81"/>
    </row>
    <row r="115" spans="1:32" ht="15.6">
      <c r="A115" s="404" t="s">
        <v>775</v>
      </c>
      <c r="B115" s="14"/>
      <c r="C115" s="7"/>
      <c r="D115" s="7"/>
      <c r="E115" s="316"/>
      <c r="F115" s="7"/>
      <c r="G115" s="7"/>
      <c r="H115" s="7"/>
      <c r="I115" s="7"/>
      <c r="J115" s="7"/>
      <c r="K115" s="316"/>
      <c r="L115" s="316"/>
      <c r="M115" s="316"/>
      <c r="N115" s="316"/>
      <c r="O115" s="375"/>
      <c r="P115" s="533"/>
      <c r="AD115" s="287"/>
      <c r="AE115" s="81"/>
      <c r="AF115" s="81"/>
    </row>
    <row r="116" spans="1:32">
      <c r="A116" s="436" t="s">
        <v>431</v>
      </c>
      <c r="B116" s="526">
        <f>'UAT10-Oct'!B160</f>
        <v>149.81</v>
      </c>
      <c r="C116" s="526">
        <f>'UAT10-Oct'!C160</f>
        <v>138.41999999999999</v>
      </c>
      <c r="D116" s="526">
        <f>'UAT10-Oct'!D160</f>
        <v>0</v>
      </c>
      <c r="E116" s="526">
        <f>'UAT10-Oct'!E160</f>
        <v>160</v>
      </c>
      <c r="F116" s="526">
        <f>'UAT10-Oct'!F160</f>
        <v>128</v>
      </c>
      <c r="G116" s="526">
        <f>'UAT10-Oct'!G160</f>
        <v>102.14</v>
      </c>
      <c r="H116" s="526">
        <f>'UAT10-Oct'!H160</f>
        <v>78.900000000000006</v>
      </c>
      <c r="I116" s="526">
        <f>'UAT10-Oct'!I160</f>
        <v>0</v>
      </c>
      <c r="J116" s="526">
        <f>'UAT10-Oct'!J160</f>
        <v>87.58</v>
      </c>
      <c r="K116" s="526">
        <f>'UAT10-Oct'!K160</f>
        <v>159.56</v>
      </c>
      <c r="L116" s="526">
        <f>'UAT10-Oct'!L160</f>
        <v>160</v>
      </c>
      <c r="M116" s="526">
        <f>'UAT10-Oct'!M160</f>
        <v>160</v>
      </c>
      <c r="N116" s="526">
        <f>'UAT10-Oct'!N160</f>
        <v>152.11000000000001</v>
      </c>
      <c r="O116" s="527">
        <f>'UAT10-Oct'!O160</f>
        <v>79.78</v>
      </c>
      <c r="P116" s="533">
        <f t="shared" si="33"/>
        <v>1556.3</v>
      </c>
      <c r="AD116" s="287"/>
      <c r="AE116" s="81"/>
      <c r="AF116" s="81"/>
    </row>
    <row r="117" spans="1:32" s="154" customFormat="1">
      <c r="A117" s="436" t="s">
        <v>432</v>
      </c>
      <c r="B117" s="526">
        <f>'UAT10-Oct'!B161</f>
        <v>78.900000000000006</v>
      </c>
      <c r="C117" s="526">
        <f>'UAT10-Oct'!C161</f>
        <v>-29.590000000000003</v>
      </c>
      <c r="D117" s="526">
        <f>'UAT10-Oct'!D161</f>
        <v>0</v>
      </c>
      <c r="E117" s="526">
        <f>'UAT10-Oct'!E161</f>
        <v>80</v>
      </c>
      <c r="F117" s="526">
        <f>'UAT10-Oct'!F161</f>
        <v>64</v>
      </c>
      <c r="G117" s="526">
        <f>'UAT10-Oct'!G161</f>
        <v>51.07</v>
      </c>
      <c r="H117" s="526">
        <f>'UAT10-Oct'!H161</f>
        <v>39.450000000000003</v>
      </c>
      <c r="I117" s="526">
        <f>'UAT10-Oct'!I161</f>
        <v>0</v>
      </c>
      <c r="J117" s="526">
        <f>'UAT10-Oct'!J161</f>
        <v>43.79</v>
      </c>
      <c r="K117" s="526">
        <f>'UAT10-Oct'!K161</f>
        <v>79.78</v>
      </c>
      <c r="L117" s="526">
        <f>'UAT10-Oct'!L161</f>
        <v>80</v>
      </c>
      <c r="M117" s="526">
        <f>'UAT10-Oct'!M161</f>
        <v>80</v>
      </c>
      <c r="N117" s="526">
        <f>'UAT10-Oct'!N161</f>
        <v>76.05</v>
      </c>
      <c r="O117" s="527">
        <f>'UAT10-Oct'!O161</f>
        <v>39.89</v>
      </c>
      <c r="P117" s="533">
        <f t="shared" si="33"/>
        <v>683.33999999999992</v>
      </c>
      <c r="Q117"/>
      <c r="R117"/>
      <c r="S117"/>
      <c r="T117"/>
      <c r="U117"/>
      <c r="V117" s="5"/>
      <c r="W117" s="5"/>
      <c r="X117" s="5"/>
      <c r="Y117" s="5"/>
      <c r="Z117" s="5"/>
      <c r="AA117" s="5"/>
      <c r="AB117" s="5"/>
      <c r="AC117" s="5"/>
      <c r="AD117" s="287"/>
      <c r="AE117" s="81"/>
      <c r="AF117" s="282"/>
    </row>
    <row r="118" spans="1:32">
      <c r="A118" s="436" t="s">
        <v>433</v>
      </c>
      <c r="B118" s="531">
        <f>'UAT10-Oct'!B162</f>
        <v>0</v>
      </c>
      <c r="C118" s="531">
        <f>'UAT10-Oct'!C162</f>
        <v>154.80000000000001</v>
      </c>
      <c r="D118" s="531">
        <f>'UAT10-Oct'!D162</f>
        <v>0</v>
      </c>
      <c r="E118" s="531">
        <f>'UAT10-Oct'!E162</f>
        <v>0</v>
      </c>
      <c r="F118" s="531">
        <f>'UAT10-Oct'!F162</f>
        <v>160</v>
      </c>
      <c r="G118" s="531">
        <f>'UAT10-Oct'!G162</f>
        <v>0</v>
      </c>
      <c r="H118" s="531">
        <f>'UAT10-Oct'!H162</f>
        <v>0</v>
      </c>
      <c r="I118" s="531">
        <f>'UAT10-Oct'!I162</f>
        <v>0</v>
      </c>
      <c r="J118" s="531">
        <f>'UAT10-Oct'!J162</f>
        <v>0</v>
      </c>
      <c r="K118" s="531">
        <f>'UAT10-Oct'!K162</f>
        <v>0</v>
      </c>
      <c r="L118" s="531">
        <f>'UAT10-Oct'!L162</f>
        <v>0</v>
      </c>
      <c r="M118" s="531">
        <f>'UAT10-Oct'!M162</f>
        <v>0</v>
      </c>
      <c r="N118" s="531">
        <f>'UAT10-Oct'!N162</f>
        <v>0</v>
      </c>
      <c r="O118" s="532">
        <f>'UAT10-Oct'!O162</f>
        <v>0</v>
      </c>
      <c r="P118" s="535">
        <f t="shared" si="33"/>
        <v>314.8</v>
      </c>
      <c r="AD118" s="287"/>
      <c r="AE118" s="282"/>
      <c r="AF118" s="81"/>
    </row>
    <row r="119" spans="1:32">
      <c r="A119" s="436" t="s">
        <v>434</v>
      </c>
      <c r="B119" s="531">
        <f>'UAT10-Oct'!B163</f>
        <v>39.480000000000004</v>
      </c>
      <c r="C119" s="531">
        <f>'UAT10-Oct'!C163</f>
        <v>0</v>
      </c>
      <c r="D119" s="531">
        <f>'UAT10-Oct'!D163</f>
        <v>0</v>
      </c>
      <c r="E119" s="531">
        <f>'UAT10-Oct'!E163</f>
        <v>0</v>
      </c>
      <c r="F119" s="531">
        <f>'UAT10-Oct'!F163</f>
        <v>0</v>
      </c>
      <c r="G119" s="531">
        <f>'UAT10-Oct'!G163</f>
        <v>0</v>
      </c>
      <c r="H119" s="531">
        <f>'UAT10-Oct'!H163</f>
        <v>19.939999999999998</v>
      </c>
      <c r="I119" s="531">
        <f>'UAT10-Oct'!I163</f>
        <v>0</v>
      </c>
      <c r="J119" s="531">
        <f>'UAT10-Oct'!J163</f>
        <v>0</v>
      </c>
      <c r="K119" s="531">
        <f>'UAT10-Oct'!K163</f>
        <v>39.99</v>
      </c>
      <c r="L119" s="531">
        <f>'UAT10-Oct'!L163</f>
        <v>36.01</v>
      </c>
      <c r="M119" s="531">
        <f>'UAT10-Oct'!M163</f>
        <v>0</v>
      </c>
      <c r="N119" s="531">
        <f>'UAT10-Oct'!N163</f>
        <v>0</v>
      </c>
      <c r="O119" s="532">
        <f>'UAT10-Oct'!O163</f>
        <v>0</v>
      </c>
      <c r="P119" s="535">
        <f t="shared" si="33"/>
        <v>135.41999999999999</v>
      </c>
      <c r="AD119" s="287"/>
      <c r="AE119" s="81"/>
      <c r="AF119" s="81"/>
    </row>
    <row r="120" spans="1:32" s="5" customFormat="1">
      <c r="A120" s="436" t="s">
        <v>435</v>
      </c>
      <c r="B120" s="531">
        <f>'UAT10-Oct'!B164</f>
        <v>11.379999999999999</v>
      </c>
      <c r="C120" s="531">
        <f>'UAT10-Oct'!C164</f>
        <v>0</v>
      </c>
      <c r="D120" s="531">
        <f>'UAT10-Oct'!D164</f>
        <v>0</v>
      </c>
      <c r="E120" s="531">
        <f>'UAT10-Oct'!E164</f>
        <v>0</v>
      </c>
      <c r="F120" s="531">
        <f>'UAT10-Oct'!F164</f>
        <v>0</v>
      </c>
      <c r="G120" s="531">
        <f>'UAT10-Oct'!G164</f>
        <v>0</v>
      </c>
      <c r="H120" s="531">
        <f>'UAT10-Oct'!H164</f>
        <v>0</v>
      </c>
      <c r="I120" s="531">
        <f>'UAT10-Oct'!I164</f>
        <v>0</v>
      </c>
      <c r="J120" s="531">
        <f>'UAT10-Oct'!J164</f>
        <v>0</v>
      </c>
      <c r="K120" s="531">
        <f>'UAT10-Oct'!K164</f>
        <v>0</v>
      </c>
      <c r="L120" s="531">
        <f>'UAT10-Oct'!L164</f>
        <v>0</v>
      </c>
      <c r="M120" s="531">
        <f>'UAT10-Oct'!M164</f>
        <v>0</v>
      </c>
      <c r="N120" s="531">
        <f>'UAT10-Oct'!N164</f>
        <v>0</v>
      </c>
      <c r="O120" s="532">
        <f>'UAT10-Oct'!O164</f>
        <v>0</v>
      </c>
      <c r="P120" s="533">
        <f t="shared" si="33"/>
        <v>11.379999999999999</v>
      </c>
      <c r="Q120"/>
      <c r="R120"/>
      <c r="S120"/>
      <c r="T120"/>
      <c r="U120"/>
      <c r="AD120" s="287"/>
      <c r="AE120" s="81"/>
      <c r="AF120" s="80"/>
    </row>
    <row r="121" spans="1:32" s="5" customFormat="1">
      <c r="A121" s="436"/>
      <c r="J121"/>
      <c r="K121"/>
      <c r="L121"/>
      <c r="M121"/>
      <c r="N121"/>
      <c r="O121"/>
      <c r="P121" s="341"/>
      <c r="Q121"/>
      <c r="R121"/>
      <c r="S121"/>
      <c r="T121"/>
      <c r="U121"/>
      <c r="AD121" s="287"/>
      <c r="AE121" s="81"/>
      <c r="AF121" s="80"/>
    </row>
    <row r="122" spans="1:32" s="5" customFormat="1" ht="15.6">
      <c r="A122" s="404" t="s">
        <v>436</v>
      </c>
      <c r="F122"/>
      <c r="G122"/>
      <c r="H122"/>
      <c r="I122"/>
      <c r="J122"/>
      <c r="K122"/>
      <c r="L122"/>
      <c r="M122"/>
      <c r="N122"/>
      <c r="O122"/>
      <c r="P122"/>
      <c r="Q122"/>
      <c r="R122"/>
      <c r="S122"/>
      <c r="T122"/>
      <c r="U122"/>
      <c r="AD122" s="287"/>
      <c r="AE122" s="81"/>
      <c r="AF122" s="80"/>
    </row>
    <row r="123" spans="1:32" s="5" customFormat="1">
      <c r="A123" s="6" t="s">
        <v>809</v>
      </c>
      <c r="B123" s="528" t="e">
        <f>IF(OR(B12="S",B12="C"),0,IF(OR(B12="1",B12="3"),ROUND(20*8*B18/365,5),ROUND(20*'New Hire'!C24*B18/365,5)))+'UAT10-Oct'!#REF!</f>
        <v>#REF!</v>
      </c>
      <c r="C123" s="528" t="e">
        <f>IF(OR(C12="S",C12="C"),0,IF(OR(C12="1",C12="3"),ROUND(20*8*C18/365,5),ROUND(20*'New Hire'!D24*C18/365,5)))+'UAT10-Oct'!#REF!</f>
        <v>#REF!</v>
      </c>
      <c r="D123" s="528" t="e">
        <f>IF(OR(D12="S",D12="C"),0,IF(OR(D12="1",D12="3"),ROUND(20*8*D18/365,5),ROUND(20*'New Hire'!E24*D18/365,5)))+'UAT10-Oct'!#REF!</f>
        <v>#REF!</v>
      </c>
      <c r="E123" s="528" t="e">
        <f>IF(OR(E12="S",E12="C"),0,IF(OR(E12="1",E12="3"),ROUND(20*8*E18/365,5),ROUND(20*'New Hire'!F24*E18/365,5)))+'UAT10-Oct'!#REF!</f>
        <v>#REF!</v>
      </c>
      <c r="F123" s="528" t="e">
        <f>IF(OR(F12="S",F12="C"),0,IF(OR(F12="1",F12="3"),ROUND(20*8*F18/365,5),ROUND(20*'New Hire'!G24*F18/365,5)))+'UAT10-Oct'!#REF!</f>
        <v>#REF!</v>
      </c>
      <c r="G123" s="528" t="e">
        <f>IF(OR(G12="S",G12="C"),0,IF(OR(G12="1",G12="3"),ROUND(20*8*G18/365,5),ROUND(20*'New Hire'!H24*G18/365,5)))+'UAT10-Oct'!#REF!</f>
        <v>#REF!</v>
      </c>
      <c r="H123" s="528" t="e">
        <f>IF(OR(H12="S",H12="C"),0,IF(OR(H12="1",H12="3"),ROUND(20*8*H18/365,5),ROUND(20*'New Hire'!I24*H18/365,5)))+'UAT10-Oct'!#REF!</f>
        <v>#REF!</v>
      </c>
      <c r="I123" s="528" t="e">
        <f>IF(OR(I12="S",I12="C"),0,IF(OR(I12="1",I12="3"),ROUND(20*8*I18/365,5),ROUND(20*'New Hire'!J24*I18/365,5)))+'UAT10-Oct'!#REF!</f>
        <v>#REF!</v>
      </c>
      <c r="J123" s="528" t="e">
        <f>IF(OR(J12="S",J12="C"),0,IF(OR(J12="1",J12="3"),ROUND(20*8*J18/365,5),ROUND(20*'New Hire'!K24*J18/365,5)))+'UAT10-Oct'!#REF!</f>
        <v>#REF!</v>
      </c>
      <c r="K123" s="528" t="e">
        <f>IF(OR(K12="S",K12="C"),0,IF(OR(K12="1",K12="3"),ROUND(20*8*K18/365,5),ROUND(20*'New Hire'!L24*K18/365,5)))+'UAT10-Oct'!#REF!</f>
        <v>#REF!</v>
      </c>
      <c r="L123" s="528" t="e">
        <f>IF(OR(L12="S",L12="C"),0,IF(OR(L12="1",L12="3"),ROUND(20*8*L18/365,5),ROUND(20*'New Hire'!M24*L18/365,5)))+'UAT10-Oct'!#REF!</f>
        <v>#REF!</v>
      </c>
      <c r="M123" s="528" t="e">
        <f>IF(OR(M12="S",M12="C"),0,IF(OR(M12="1",M12="3"),ROUND(20*8*M18/365,5),ROUND(20*'New Hire'!N24*M18/365,5)))+'UAT10-Oct'!#REF!</f>
        <v>#REF!</v>
      </c>
      <c r="N123" s="528" t="e">
        <f>IF(OR(N12="S",N12="C"),0,IF(OR(N12="1",N12="3"),ROUND(20*8*N18/365,5),ROUND(20*'New Hire'!O24*N18/365,5)))+'UAT10-Oct'!#REF!</f>
        <v>#REF!</v>
      </c>
      <c r="O123" s="528">
        <v>0</v>
      </c>
      <c r="P123"/>
      <c r="Q123"/>
      <c r="R123"/>
      <c r="S123"/>
      <c r="T123"/>
      <c r="U123"/>
      <c r="AD123" s="287"/>
      <c r="AE123" s="81"/>
      <c r="AF123" s="80"/>
    </row>
    <row r="124" spans="1:32" s="5" customFormat="1">
      <c r="A124" s="6" t="s">
        <v>810</v>
      </c>
      <c r="B124" s="529" t="e">
        <f>IF(OR(B12="S",B12="C"),0,IF(OR(B12="1",B12="3"),ROUND(10*8*B18/365,5),ROUND(10*'New Hire'!C24*B18/365,5)))+'UAT10-Oct'!#REF!</f>
        <v>#REF!</v>
      </c>
      <c r="C124" s="529" t="e">
        <f>IF(OR(C12="S",C12="C"),0,IF(OR(C12="1",C12="3"),ROUND(10*8*C18/365,5),ROUND(10*'New Hire'!D24*C18/365,5)))+'UAT10-Oct'!#REF!</f>
        <v>#REF!</v>
      </c>
      <c r="D124" s="529" t="e">
        <f>IF(OR(D12="S",D12="C"),0,IF(OR(D12="1",D12="3"),ROUND(10*8*D18/365,5),ROUND(10*'New Hire'!E24*D18/365,5)))+'UAT10-Oct'!#REF!</f>
        <v>#REF!</v>
      </c>
      <c r="E124" s="529" t="e">
        <f>IF(OR(E12="S",E12="C"),0,IF(OR(E12="1",E12="3"),ROUND(10*8*E18/365,5),ROUND(10*'New Hire'!F24*E18/365,5)))+'UAT10-Oct'!#REF!</f>
        <v>#REF!</v>
      </c>
      <c r="F124" s="529" t="e">
        <f>IF(OR(F12="S",F12="C"),0,IF(OR(F12="1",F12="3"),ROUND(10*8*F18/365,5),ROUND(10*'New Hire'!G24*F18/365,5)))+'UAT10-Oct'!#REF!</f>
        <v>#REF!</v>
      </c>
      <c r="G124" s="529" t="e">
        <f>IF(OR(G12="S",G12="C"),0,IF(OR(G12="1",G12="3"),ROUND(10*8*G18/365,5),ROUND(10*'New Hire'!H24*G18/365,5)))+'UAT10-Oct'!#REF!</f>
        <v>#REF!</v>
      </c>
      <c r="H124" s="529" t="e">
        <f>IF(OR(H12="S",H12="C"),0,IF(OR(H12="1",H12="3"),ROUND(10*8*H18/365,5),ROUND(10*'New Hire'!I24*H18/365,5)))+'UAT10-Oct'!#REF!</f>
        <v>#REF!</v>
      </c>
      <c r="I124" s="529" t="e">
        <f>IF(OR(I12="S",I12="C"),0,IF(OR(I12="1",I12="3"),ROUND(10*8*I18/365,5),ROUND(10*'New Hire'!J24*I18/365,5)))+'UAT10-Oct'!#REF!</f>
        <v>#REF!</v>
      </c>
      <c r="J124" s="529" t="e">
        <f>IF(OR(J12="S",J12="C"),0,IF(OR(J12="1",J12="3"),ROUND(10*8*J18/365,5),ROUND(10*'New Hire'!K24*J18/365,5)))+'UAT10-Oct'!#REF!</f>
        <v>#REF!</v>
      </c>
      <c r="K124" s="529" t="e">
        <f>IF(OR(K12="S",K12="C"),0,IF(OR(K12="1",K12="3"),ROUND(10*8*K18/365,5),ROUND(10*'New Hire'!L24*K18/365,5)))+'UAT10-Oct'!#REF!</f>
        <v>#REF!</v>
      </c>
      <c r="L124" s="529" t="e">
        <f>IF(OR(L12="S",L12="C"),0,IF(OR(L12="1",L12="3"),ROUND(10*8*L18/365,5),ROUND(10*'New Hire'!M24*L18/365,5)))+'UAT10-Oct'!#REF!</f>
        <v>#REF!</v>
      </c>
      <c r="M124" s="529" t="e">
        <f>IF(OR(M12="S",M12="C"),0,IF(OR(M12="1",M12="3"),ROUND(10*8*M18/365,5),ROUND(10*'New Hire'!N24*M18/365,5)))+'UAT10-Oct'!#REF!</f>
        <v>#REF!</v>
      </c>
      <c r="N124" s="529" t="e">
        <f>IF(OR(N12="S",N12="C"),0,IF(OR(N12="1",N12="3"),ROUND(10*8*N18/365,5),ROUND(10*'New Hire'!O24*N18/365,5)))+'UAT10-Oct'!#REF!</f>
        <v>#REF!</v>
      </c>
      <c r="O124" s="529">
        <v>0</v>
      </c>
      <c r="P124"/>
      <c r="Q124"/>
      <c r="R124"/>
      <c r="S124"/>
      <c r="T124"/>
      <c r="U124"/>
      <c r="AD124"/>
      <c r="AE124" s="81"/>
      <c r="AF124" s="80"/>
    </row>
    <row r="125" spans="1:32" s="5" customFormat="1">
      <c r="A125" s="436" t="s">
        <v>779</v>
      </c>
      <c r="B125" s="528" t="e">
        <f>IF(B118&lt;&gt;0,0,IF('New Hire'!C78=1,ROUND(25/10*B14%/365,5)*B18,0)+'UAT10-Oct'!#REF!)</f>
        <v>#REF!</v>
      </c>
      <c r="C125" s="528">
        <f>IF(C118&lt;&gt;0,0,IF('New Hire'!D78=1,ROUND(25/10*C14%/365,5)*C18,0)+'UAT10-Oct'!#REF!)</f>
        <v>0</v>
      </c>
      <c r="D125" s="528" t="e">
        <f>IF(D118&lt;&gt;0,0,IF('New Hire'!E78=1,ROUND(25/10*D14%/365,5)*D18,0)+'UAT10-Oct'!#REF!)</f>
        <v>#REF!</v>
      </c>
      <c r="E125" s="528" t="e">
        <f>IF(E118&lt;&gt;0,0,IF('New Hire'!F78=1,ROUND(25/10*E14%/365,5)*E18,0)+'UAT10-Oct'!#REF!)</f>
        <v>#REF!</v>
      </c>
      <c r="F125" s="528">
        <f>IF(F118&lt;&gt;0,0,IF('New Hire'!G78=1,ROUND(25/10*F14%/365,5)*F18,0)+'UAT10-Oct'!#REF!)</f>
        <v>0</v>
      </c>
      <c r="G125" s="528" t="e">
        <f>IF(G118&lt;&gt;0,0,IF('New Hire'!H78=1,ROUND(25/10*G14%/365,5)*G18,0)+'UAT10-Oct'!#REF!)</f>
        <v>#REF!</v>
      </c>
      <c r="H125" s="528" t="e">
        <f>IF(H118&lt;&gt;0,0,IF('New Hire'!I78=1,ROUND(25/10*H14%/365,5)*H18,0)+'UAT10-Oct'!#REF!)</f>
        <v>#REF!</v>
      </c>
      <c r="I125" s="528" t="e">
        <f>IF(I118&lt;&gt;0,0,IF('New Hire'!J78=1,ROUND(25/10*I14%/365,5)*I18,0)+'UAT10-Oct'!#REF!)</f>
        <v>#REF!</v>
      </c>
      <c r="J125" s="528" t="e">
        <f>IF(J118&lt;&gt;0,0,IF('New Hire'!K78=1,ROUND(25/10*J14%/365,5)*J18,0)+'UAT10-Oct'!#REF!)</f>
        <v>#REF!</v>
      </c>
      <c r="K125" s="528" t="e">
        <f>IF(K118&lt;&gt;0,0,IF('New Hire'!L78=1,ROUND(25/10*K14%/365,5)*K18,0)+'UAT10-Oct'!#REF!)</f>
        <v>#REF!</v>
      </c>
      <c r="L125" s="528" t="e">
        <f>IF(L118&lt;&gt;0,0,IF('New Hire'!M78=1,ROUND(25/10*L14%/365,5)*L18,0)+'UAT10-Oct'!#REF!)</f>
        <v>#REF!</v>
      </c>
      <c r="M125" s="528" t="e">
        <f>IF(M118&lt;&gt;0,0,IF('New Hire'!N78=1,ROUND(25/10*M14%/365,5)*M18,0)+'UAT10-Oct'!#REF!)</f>
        <v>#REF!</v>
      </c>
      <c r="N125" s="528" t="e">
        <f>IF(N118&lt;&gt;0,0,IF('New Hire'!O78=1,ROUND(25/10*N14%/365,5)*N18,0)+'UAT10-Oct'!#REF!)</f>
        <v>#REF!</v>
      </c>
      <c r="O125" s="528" t="e">
        <f>IF(O118&lt;&gt;0,0,IF('New Hire'!P78=1,ROUND(25/10*O14%/365,5)*O18,0)+'UAT10-Oct'!#REF!)</f>
        <v>#REF!</v>
      </c>
      <c r="P125"/>
      <c r="Q125"/>
      <c r="R125"/>
      <c r="S125"/>
      <c r="T125"/>
      <c r="U125"/>
      <c r="AD125"/>
      <c r="AE125" s="81"/>
      <c r="AF125" s="80"/>
    </row>
    <row r="126" spans="1:32" s="5" customFormat="1">
      <c r="A126" s="436" t="s">
        <v>780</v>
      </c>
      <c r="B126" s="529">
        <f>IF(B12="C",0,IF(B119&lt;&gt;0,0,IF('New Hire'!C78=1,0,ROUND(5/5*B14%/365,5)*B18)+'UAT10-Oct'!#REF!))</f>
        <v>0</v>
      </c>
      <c r="C126" s="529" t="e">
        <f>IF(C12="C",0,IF(C119&lt;&gt;0,0,IF('New Hire'!D78=1,0,ROUND(5/5*C14%/365,5)*C18)+'UAT10-Oct'!#REF!))</f>
        <v>#REF!</v>
      </c>
      <c r="D126" s="529" t="e">
        <f>IF(D12="C",0,IF(D119&lt;&gt;0,0,IF('New Hire'!E78=1,0,ROUND(5/5*D14%/365,5)*D18)+'UAT10-Oct'!#REF!))</f>
        <v>#REF!</v>
      </c>
      <c r="E126" s="529" t="e">
        <f>IF(E12="C",0,IF(E119&lt;&gt;0,0,IF('New Hire'!F78=1,0,ROUND(5/5*E14%/365,5)*E18)+'UAT10-Oct'!#REF!))</f>
        <v>#REF!</v>
      </c>
      <c r="F126" s="529" t="e">
        <f>IF(F12="C",0,IF(F119&lt;&gt;0,0,IF('New Hire'!G78=1,0,ROUND(5/5*F14%/365,5)*F18)+'UAT10-Oct'!#REF!))</f>
        <v>#REF!</v>
      </c>
      <c r="G126" s="529">
        <f>IF(G12="C",0,IF(G119&lt;&gt;0,0,IF('New Hire'!H78=1,0,ROUND(5/5*G14%/365,5)*G18)+'UAT10-Oct'!#REF!))</f>
        <v>0</v>
      </c>
      <c r="H126" s="529">
        <f>IF(H12="C",0,IF(H119&lt;&gt;0,0,IF('New Hire'!I78=1,0,ROUND(5/5*H14%/365,5)*H18)+'UAT10-Oct'!#REF!))</f>
        <v>0</v>
      </c>
      <c r="I126" s="529" t="e">
        <f>IF(I12="C",0,IF(I119&lt;&gt;0,0,IF('New Hire'!J78=1,0,ROUND(5/5*I14%/365,5)*I18)+'UAT10-Oct'!#REF!))</f>
        <v>#REF!</v>
      </c>
      <c r="J126" s="529" t="e">
        <f>IF(J12="C",0,IF(J119&lt;&gt;0,0,IF('New Hire'!K78=1,0,ROUND(5/5*J14%/365,5)*J18)+'UAT10-Oct'!#REF!))</f>
        <v>#REF!</v>
      </c>
      <c r="K126" s="529">
        <f>IF(K12="C",0,IF(K119&lt;&gt;0,0,IF('New Hire'!L78=1,0,ROUND(5/5*K14%/365,5)*K18)+'UAT10-Oct'!#REF!))</f>
        <v>0</v>
      </c>
      <c r="L126" s="529">
        <f>IF(L12="C",0,IF(L119&lt;&gt;0,0,IF('New Hire'!M78=1,0,ROUND(5/5*L14%/365,5)*L18)+'UAT10-Oct'!#REF!))</f>
        <v>0</v>
      </c>
      <c r="M126" s="529" t="e">
        <f>IF(M12="C",0,IF(M119&lt;&gt;0,0,IF('New Hire'!N78=1,0,ROUND(5/5*M14%/365,5)*M18)+'UAT10-Oct'!#REF!))</f>
        <v>#REF!</v>
      </c>
      <c r="N126" s="529" t="e">
        <f>IF(N12="C",0,IF(N119&lt;&gt;0,0,IF('New Hire'!O78=1,0,ROUND(5/5*N14%/365,5)*N18)+'UAT10-Oct'!#REF!))</f>
        <v>#REF!</v>
      </c>
      <c r="O126" s="529">
        <f>IF(O12="C",0,IF(O119&lt;&gt;0,0,IF('New Hire'!P78=1,0,ROUND(5/5*O14%/365,5)*O18)+'UAT10-Oct'!#REF!))</f>
        <v>0</v>
      </c>
      <c r="P126"/>
      <c r="Q126"/>
      <c r="R126"/>
      <c r="S126"/>
      <c r="T126"/>
      <c r="U126"/>
      <c r="AD126"/>
      <c r="AE126" s="81"/>
      <c r="AF126" s="80"/>
    </row>
    <row r="127" spans="1:32" s="5" customFormat="1">
      <c r="A127" s="436"/>
      <c r="B127" s="526"/>
      <c r="C127" s="526"/>
      <c r="D127" s="526"/>
      <c r="E127" s="526"/>
      <c r="F127" s="526"/>
      <c r="G127" s="526"/>
      <c r="H127" s="526"/>
      <c r="I127" s="526"/>
      <c r="J127" s="526"/>
      <c r="K127" s="526"/>
      <c r="L127" s="526"/>
      <c r="M127" s="526"/>
      <c r="N127" s="526"/>
      <c r="O127" s="526"/>
      <c r="P127"/>
      <c r="Q127"/>
      <c r="R127"/>
      <c r="S127"/>
      <c r="T127"/>
      <c r="U127"/>
      <c r="AD127"/>
      <c r="AE127" s="81"/>
      <c r="AF127" s="80"/>
    </row>
    <row r="128" spans="1:32" s="5" customFormat="1" ht="15.6">
      <c r="A128" s="404" t="s">
        <v>622</v>
      </c>
      <c r="F128"/>
      <c r="G128"/>
      <c r="H128"/>
      <c r="I128"/>
      <c r="J128"/>
      <c r="K128"/>
      <c r="L128"/>
      <c r="M128"/>
      <c r="N128"/>
      <c r="O128"/>
      <c r="P128"/>
      <c r="Q128"/>
      <c r="R128"/>
      <c r="S128"/>
      <c r="T128"/>
      <c r="U128"/>
      <c r="AD128"/>
      <c r="AE128" s="81"/>
      <c r="AF128" s="80"/>
    </row>
    <row r="129" spans="1:32">
      <c r="A129" s="514" t="s">
        <v>477</v>
      </c>
      <c r="B129" s="515">
        <v>7000000</v>
      </c>
      <c r="C129" s="515">
        <v>6200000</v>
      </c>
      <c r="D129" s="515">
        <f>'UAT10-Oct'!AA39</f>
        <v>11000000</v>
      </c>
      <c r="E129" s="515">
        <v>11000000</v>
      </c>
      <c r="F129" s="515">
        <v>16000000</v>
      </c>
      <c r="H129" s="515">
        <v>5500</v>
      </c>
      <c r="I129" s="515">
        <v>4200</v>
      </c>
      <c r="J129" s="515">
        <v>55000000</v>
      </c>
      <c r="K129" s="515">
        <v>10000000</v>
      </c>
      <c r="L129" s="515">
        <v>11500000</v>
      </c>
      <c r="M129" s="515">
        <v>7000000</v>
      </c>
      <c r="N129" s="515">
        <v>8000000</v>
      </c>
      <c r="AE129" s="81"/>
      <c r="AF129" s="81"/>
    </row>
    <row r="130" spans="1:32">
      <c r="A130" s="436" t="s">
        <v>750</v>
      </c>
      <c r="B130" s="443"/>
      <c r="C130" s="443"/>
      <c r="D130" s="443"/>
      <c r="E130" s="443"/>
      <c r="F130" s="443"/>
      <c r="G130" s="515">
        <v>250</v>
      </c>
      <c r="H130" s="443"/>
      <c r="I130" s="443"/>
      <c r="J130" s="443"/>
      <c r="K130" s="443"/>
      <c r="L130" s="443"/>
      <c r="M130" s="443"/>
      <c r="N130" s="443"/>
      <c r="O130" s="515">
        <v>900000</v>
      </c>
      <c r="AE130" s="81"/>
      <c r="AF130" s="81"/>
    </row>
    <row r="131" spans="1:32">
      <c r="A131" s="442" t="s">
        <v>494</v>
      </c>
      <c r="B131" s="443">
        <v>700000</v>
      </c>
      <c r="C131" s="443">
        <v>620000</v>
      </c>
      <c r="D131" s="443">
        <f>'UAT10-Oct'!AA40</f>
        <v>1100000</v>
      </c>
      <c r="E131" s="443">
        <v>0</v>
      </c>
      <c r="F131" s="443">
        <v>0</v>
      </c>
      <c r="G131" s="443">
        <v>0</v>
      </c>
      <c r="H131" s="443">
        <v>550</v>
      </c>
      <c r="I131" s="443">
        <v>0</v>
      </c>
      <c r="J131" s="443">
        <v>5500000</v>
      </c>
      <c r="K131" s="443">
        <v>1000000</v>
      </c>
      <c r="L131" s="443">
        <v>0</v>
      </c>
      <c r="M131" s="443">
        <v>1400000</v>
      </c>
      <c r="N131" s="443">
        <v>1200000</v>
      </c>
      <c r="O131" s="443">
        <f>'New Hire'!P34</f>
        <v>0</v>
      </c>
      <c r="AE131" s="81"/>
      <c r="AF131" s="81"/>
    </row>
    <row r="132" spans="1:32">
      <c r="A132" s="408" t="s">
        <v>566</v>
      </c>
      <c r="B132" s="443">
        <v>1400000</v>
      </c>
      <c r="C132" s="443">
        <v>1240000</v>
      </c>
      <c r="D132" s="443">
        <f>'UAT10-Oct'!AA41</f>
        <v>2350000</v>
      </c>
      <c r="E132" s="443">
        <v>0</v>
      </c>
      <c r="F132" s="443">
        <v>0</v>
      </c>
      <c r="G132" s="443">
        <v>0</v>
      </c>
      <c r="H132" s="443">
        <v>1100</v>
      </c>
      <c r="I132" s="443">
        <v>0</v>
      </c>
      <c r="J132" s="443">
        <v>11000000</v>
      </c>
      <c r="K132" s="443">
        <v>2000000</v>
      </c>
      <c r="L132" s="443">
        <v>0</v>
      </c>
      <c r="M132" s="443">
        <v>2100000</v>
      </c>
      <c r="N132" s="443">
        <v>1650000</v>
      </c>
      <c r="O132" s="443">
        <f>'New Hire'!P36</f>
        <v>0</v>
      </c>
    </row>
    <row r="133" spans="1:32">
      <c r="A133" s="416" t="s">
        <v>493</v>
      </c>
      <c r="B133" s="443"/>
      <c r="C133" s="443"/>
      <c r="D133" s="443"/>
      <c r="E133" s="443"/>
      <c r="F133" s="443"/>
      <c r="G133" s="443"/>
      <c r="H133" s="443"/>
      <c r="I133" s="443"/>
      <c r="J133" s="443"/>
      <c r="K133" s="443"/>
      <c r="L133" s="443"/>
      <c r="M133" s="443"/>
      <c r="N133" s="443"/>
      <c r="O133" s="443"/>
    </row>
    <row r="134" spans="1:32">
      <c r="A134" s="405" t="s">
        <v>528</v>
      </c>
      <c r="B134" s="443"/>
      <c r="C134" s="443"/>
      <c r="D134" s="443"/>
      <c r="E134" s="443"/>
      <c r="F134" s="443"/>
      <c r="G134" s="443"/>
      <c r="H134" s="443"/>
      <c r="I134" s="443"/>
      <c r="J134" s="443"/>
      <c r="K134" s="443"/>
      <c r="L134" s="443"/>
      <c r="M134" s="443"/>
      <c r="N134" s="443"/>
      <c r="O134" s="443"/>
    </row>
    <row r="135" spans="1:32">
      <c r="A135" s="416" t="s">
        <v>592</v>
      </c>
      <c r="B135" s="443"/>
      <c r="C135" s="443"/>
      <c r="D135" s="443"/>
      <c r="E135" s="443"/>
      <c r="F135" s="443"/>
      <c r="G135" s="443"/>
      <c r="H135" s="443"/>
      <c r="I135" s="443"/>
      <c r="J135" s="443"/>
      <c r="K135" s="443"/>
      <c r="L135" s="443"/>
      <c r="M135" s="443"/>
      <c r="N135" s="443"/>
      <c r="O135" s="443"/>
    </row>
    <row r="136" spans="1:32">
      <c r="A136" s="408" t="s">
        <v>491</v>
      </c>
      <c r="B136" s="443"/>
      <c r="C136" s="443"/>
      <c r="D136" s="443"/>
      <c r="E136" s="443"/>
      <c r="F136" s="443"/>
      <c r="G136" s="443"/>
      <c r="H136" s="443"/>
      <c r="I136" s="443"/>
      <c r="J136" s="443"/>
      <c r="K136" s="443"/>
      <c r="L136" s="443"/>
      <c r="M136" s="443"/>
      <c r="N136" s="443"/>
      <c r="O136" s="443"/>
    </row>
    <row r="137" spans="1:32">
      <c r="A137" s="408" t="s">
        <v>497</v>
      </c>
      <c r="B137" s="443"/>
      <c r="C137" s="443"/>
      <c r="D137" s="443"/>
      <c r="E137" s="443"/>
      <c r="F137" s="443"/>
      <c r="G137" s="443"/>
      <c r="H137" s="443"/>
      <c r="I137" s="443"/>
      <c r="J137" s="443"/>
      <c r="K137" s="443"/>
      <c r="L137" s="443"/>
      <c r="M137" s="443"/>
      <c r="N137" s="443"/>
      <c r="O137" s="443"/>
    </row>
    <row r="138" spans="1:32">
      <c r="A138" s="6" t="s">
        <v>623</v>
      </c>
      <c r="B138" s="443"/>
      <c r="C138" s="443"/>
      <c r="D138" s="443"/>
      <c r="E138" s="443"/>
      <c r="F138" s="443"/>
      <c r="G138" s="443"/>
      <c r="H138" s="443"/>
      <c r="I138" s="443"/>
      <c r="J138" s="443"/>
      <c r="K138" s="443"/>
      <c r="L138" s="443"/>
      <c r="M138" s="443"/>
      <c r="N138" s="443"/>
      <c r="O138" s="443"/>
    </row>
    <row r="139" spans="1:32">
      <c r="A139" s="6" t="s">
        <v>625</v>
      </c>
      <c r="B139" s="443"/>
      <c r="C139" s="443"/>
      <c r="D139" s="443"/>
      <c r="E139" s="443"/>
      <c r="F139" s="443"/>
      <c r="G139" s="443"/>
      <c r="H139" s="443"/>
      <c r="I139" s="443"/>
      <c r="J139" s="443"/>
      <c r="K139" s="443"/>
      <c r="L139" s="443"/>
      <c r="M139" s="443"/>
      <c r="N139" s="443"/>
      <c r="O139" s="443"/>
    </row>
    <row r="140" spans="1:32">
      <c r="A140" s="405" t="s">
        <v>606</v>
      </c>
      <c r="B140" s="443"/>
      <c r="C140" s="443"/>
      <c r="D140" s="443"/>
      <c r="E140" s="443"/>
      <c r="F140" s="443"/>
      <c r="G140" s="443"/>
      <c r="H140" s="443">
        <v>100</v>
      </c>
      <c r="I140" s="443">
        <v>100</v>
      </c>
      <c r="J140" s="443"/>
      <c r="K140" s="443"/>
      <c r="L140" s="443"/>
      <c r="M140" s="443"/>
      <c r="N140" s="443"/>
      <c r="O140" s="443"/>
    </row>
    <row r="141" spans="1:32">
      <c r="A141" s="405" t="s">
        <v>607</v>
      </c>
      <c r="B141" s="443"/>
      <c r="C141" s="443"/>
      <c r="D141" s="443"/>
      <c r="E141" s="443"/>
      <c r="F141" s="443"/>
      <c r="G141" s="443"/>
      <c r="H141" s="443">
        <v>200</v>
      </c>
      <c r="I141" s="443">
        <v>200</v>
      </c>
      <c r="J141" s="443"/>
      <c r="K141" s="443"/>
      <c r="L141" s="443"/>
      <c r="M141" s="443"/>
      <c r="N141" s="443"/>
      <c r="O141" s="443"/>
    </row>
    <row r="142" spans="1:32">
      <c r="A142" s="6" t="s">
        <v>626</v>
      </c>
      <c r="B142" s="443">
        <f t="shared" ref="B142:O142" si="44">IF(OR(B20="A",B20="B"),B129,(B129-B140-B141)*B86)</f>
        <v>7000000</v>
      </c>
      <c r="C142" s="443">
        <f t="shared" si="44"/>
        <v>6200000</v>
      </c>
      <c r="D142" s="443">
        <f t="shared" si="44"/>
        <v>11000000</v>
      </c>
      <c r="E142" s="443">
        <f t="shared" si="44"/>
        <v>11000000</v>
      </c>
      <c r="F142" s="443">
        <f t="shared" si="44"/>
        <v>16000000</v>
      </c>
      <c r="G142" s="443">
        <f t="shared" si="44"/>
        <v>0</v>
      </c>
      <c r="H142" s="443">
        <f t="shared" si="44"/>
        <v>5200</v>
      </c>
      <c r="I142" s="443">
        <f t="shared" si="44"/>
        <v>3900</v>
      </c>
      <c r="J142" s="443">
        <f t="shared" si="44"/>
        <v>55000000</v>
      </c>
      <c r="K142" s="443">
        <f t="shared" si="44"/>
        <v>10000000</v>
      </c>
      <c r="L142" s="443">
        <f t="shared" si="44"/>
        <v>11500000</v>
      </c>
      <c r="M142" s="443">
        <f t="shared" si="44"/>
        <v>7000000</v>
      </c>
      <c r="N142" s="443">
        <f t="shared" si="44"/>
        <v>8000000</v>
      </c>
      <c r="O142" s="443">
        <f t="shared" si="44"/>
        <v>0</v>
      </c>
    </row>
    <row r="143" spans="1:32">
      <c r="A143" s="6" t="s">
        <v>628</v>
      </c>
      <c r="B143" s="443">
        <f t="shared" ref="B143:O143" si="45">IF(B12="C",0,IF(OR(B20="A",B20="B"),0,ROUND(B142*$B$5,0)+ROUND(B131*$B$5,0)+ROUND(B132*$B$5,0)+ROUND(B134*$B$5,0)))</f>
        <v>0</v>
      </c>
      <c r="C143" s="443">
        <f t="shared" si="45"/>
        <v>0</v>
      </c>
      <c r="D143" s="443">
        <f t="shared" si="45"/>
        <v>0</v>
      </c>
      <c r="E143" s="443">
        <f t="shared" si="45"/>
        <v>0</v>
      </c>
      <c r="F143" s="443">
        <f t="shared" si="45"/>
        <v>0</v>
      </c>
      <c r="G143" s="443">
        <f t="shared" si="45"/>
        <v>0</v>
      </c>
      <c r="H143" s="443">
        <f t="shared" si="45"/>
        <v>160975000</v>
      </c>
      <c r="I143" s="443">
        <f t="shared" si="45"/>
        <v>91650000</v>
      </c>
      <c r="J143" s="443">
        <f t="shared" si="45"/>
        <v>0</v>
      </c>
      <c r="K143" s="443">
        <f t="shared" si="45"/>
        <v>0</v>
      </c>
      <c r="L143" s="443">
        <f t="shared" si="45"/>
        <v>0</v>
      </c>
      <c r="M143" s="443">
        <f t="shared" si="45"/>
        <v>0</v>
      </c>
      <c r="N143" s="443">
        <f t="shared" si="45"/>
        <v>0</v>
      </c>
      <c r="O143" s="443">
        <f t="shared" si="45"/>
        <v>0</v>
      </c>
    </row>
    <row r="144" spans="1:32">
      <c r="A144" s="6" t="s">
        <v>657</v>
      </c>
      <c r="B144" s="5">
        <v>0</v>
      </c>
      <c r="C144" s="5">
        <v>0</v>
      </c>
      <c r="D144" s="5">
        <v>0</v>
      </c>
      <c r="E144" s="5">
        <v>0</v>
      </c>
      <c r="F144" s="5">
        <v>0</v>
      </c>
      <c r="G144" s="5">
        <v>0</v>
      </c>
      <c r="H144" s="5">
        <v>0</v>
      </c>
      <c r="I144" s="5">
        <v>0</v>
      </c>
      <c r="J144" s="5">
        <v>0</v>
      </c>
      <c r="K144" s="5">
        <v>0</v>
      </c>
      <c r="L144" s="5">
        <v>0</v>
      </c>
      <c r="M144" s="5">
        <v>0</v>
      </c>
      <c r="N144" s="5">
        <v>0</v>
      </c>
      <c r="O144" s="5">
        <v>0</v>
      </c>
    </row>
    <row r="145" spans="1:15">
      <c r="A145" s="6" t="s">
        <v>812</v>
      </c>
      <c r="B145" s="5">
        <f>'UAT10-Oct'!B184</f>
        <v>0</v>
      </c>
      <c r="C145" s="5">
        <f>'UAT10-Oct'!C184</f>
        <v>0</v>
      </c>
      <c r="D145" s="5">
        <f>'UAT10-Oct'!D184</f>
        <v>0</v>
      </c>
      <c r="E145" s="5">
        <f>'UAT10-Oct'!E184</f>
        <v>36</v>
      </c>
      <c r="F145" s="5">
        <f>'UAT10-Oct'!F184</f>
        <v>0</v>
      </c>
      <c r="G145" s="5">
        <f>'UAT10-Oct'!G184</f>
        <v>0</v>
      </c>
      <c r="H145" s="5">
        <f>'UAT10-Oct'!H184</f>
        <v>19</v>
      </c>
      <c r="I145" s="5">
        <f>'UAT10-Oct'!I184</f>
        <v>0</v>
      </c>
      <c r="J145" s="5">
        <f>'UAT10-Oct'!J184</f>
        <v>0</v>
      </c>
      <c r="K145" s="5">
        <f>'UAT10-Oct'!K184</f>
        <v>0</v>
      </c>
      <c r="L145" s="5">
        <f>'UAT10-Oct'!L184</f>
        <v>0</v>
      </c>
      <c r="M145" s="5">
        <f>'UAT10-Oct'!M184</f>
        <v>0</v>
      </c>
      <c r="N145" s="5">
        <f>'UAT10-Oct'!N184</f>
        <v>0</v>
      </c>
      <c r="O145" s="5">
        <f>'UAT10-Oct'!O184</f>
        <v>0</v>
      </c>
    </row>
  </sheetData>
  <mergeCells count="4">
    <mergeCell ref="G6:J6"/>
    <mergeCell ref="X6:AA6"/>
    <mergeCell ref="P7:P8"/>
    <mergeCell ref="X9:AA12"/>
  </mergeCells>
  <phoneticPr fontId="104" type="noConversion"/>
  <pageMargins left="0.75" right="0.75" top="1" bottom="1" header="0.5" footer="0.5"/>
  <pageSetup paperSize="9" orientation="portrait" verticalDpi="90" r:id="rId1"/>
  <headerFooter alignWithMargins="0"/>
  <drawing r:id="rId2"/>
  <legacyDrawing r:id="rId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C142"/>
  <sheetViews>
    <sheetView workbookViewId="0">
      <pane xSplit="1" ySplit="9" topLeftCell="B103" activePane="bottomRight" state="frozen"/>
      <selection pane="topRight" activeCell="B1" sqref="B1"/>
      <selection pane="bottomLeft" activeCell="A10" sqref="A10"/>
      <selection pane="bottomRight" activeCell="A4" sqref="A4:A5"/>
    </sheetView>
  </sheetViews>
  <sheetFormatPr defaultRowHeight="13.8"/>
  <cols>
    <col min="1" max="1" width="31" style="5" bestFit="1" customWidth="1"/>
    <col min="2" max="4" width="10.77734375" style="5" customWidth="1"/>
    <col min="5" max="6" width="10.77734375" customWidth="1"/>
    <col min="7" max="7" width="11.6640625" bestFit="1" customWidth="1"/>
    <col min="8" max="12" width="10.77734375" customWidth="1"/>
    <col min="13" max="13" width="12.6640625" bestFit="1" customWidth="1"/>
    <col min="14" max="15" width="12.77734375" customWidth="1"/>
    <col min="16" max="18" width="10.77734375" customWidth="1"/>
    <col min="19" max="23" width="9.33203125" style="5" customWidth="1"/>
    <col min="24" max="24" width="10.77734375" style="5" bestFit="1" customWidth="1"/>
    <col min="25" max="26" width="9.33203125" style="5" customWidth="1"/>
  </cols>
  <sheetData>
    <row r="1" spans="1:26" s="3" customFormat="1" ht="20.399999999999999">
      <c r="A1" s="104" t="s">
        <v>6</v>
      </c>
      <c r="B1" s="104"/>
      <c r="C1" s="104"/>
      <c r="D1" s="104"/>
      <c r="E1" s="440"/>
      <c r="J1" s="8"/>
      <c r="U1" s="1"/>
      <c r="V1" s="1"/>
      <c r="W1" s="1"/>
      <c r="X1" s="1"/>
      <c r="Y1" s="1"/>
      <c r="Z1" s="1"/>
    </row>
    <row r="2" spans="1:26" s="3" customFormat="1" ht="12.75" customHeight="1">
      <c r="B2" s="110"/>
      <c r="C2" s="110"/>
      <c r="D2" s="109"/>
      <c r="S2" s="22"/>
      <c r="T2" s="22"/>
      <c r="U2" s="22"/>
      <c r="V2" s="22"/>
      <c r="W2" s="22"/>
      <c r="X2" s="2"/>
      <c r="Z2" s="2"/>
    </row>
    <row r="3" spans="1:26" s="3" customFormat="1" ht="30">
      <c r="A3" s="106" t="s">
        <v>873</v>
      </c>
      <c r="B3" s="110"/>
      <c r="C3" s="110"/>
      <c r="D3" s="106"/>
      <c r="S3" s="22"/>
      <c r="T3" s="22"/>
      <c r="U3" s="22"/>
      <c r="V3" s="22"/>
      <c r="W3" s="22"/>
      <c r="X3" s="2"/>
      <c r="Z3" s="2"/>
    </row>
    <row r="4" spans="1:26" s="110" customFormat="1">
      <c r="A4" s="110" t="s">
        <v>1265</v>
      </c>
      <c r="B4" s="361">
        <v>23205</v>
      </c>
    </row>
    <row r="5" spans="1:26" s="110" customFormat="1">
      <c r="A5" s="110" t="s">
        <v>1268</v>
      </c>
      <c r="B5" s="361">
        <v>23500</v>
      </c>
    </row>
    <row r="6" spans="1:26" s="3" customFormat="1" ht="18" customHeight="1">
      <c r="A6" s="321">
        <v>43830</v>
      </c>
      <c r="B6" s="110"/>
      <c r="C6" s="110"/>
      <c r="F6" s="748" t="s">
        <v>52</v>
      </c>
      <c r="G6" s="748"/>
      <c r="H6" s="748"/>
      <c r="S6" s="22"/>
      <c r="T6" s="22"/>
      <c r="U6" s="747" t="s">
        <v>65</v>
      </c>
      <c r="V6" s="747"/>
      <c r="W6" s="747"/>
      <c r="X6" s="747"/>
      <c r="Y6" s="2"/>
      <c r="Z6" s="2"/>
    </row>
    <row r="7" spans="1:26" s="4" customFormat="1">
      <c r="A7" s="402"/>
      <c r="B7" s="317" t="s">
        <v>34</v>
      </c>
      <c r="C7" s="318" t="s">
        <v>36</v>
      </c>
      <c r="D7" s="511" t="s">
        <v>37</v>
      </c>
      <c r="E7" s="318" t="s">
        <v>38</v>
      </c>
      <c r="F7" s="318" t="s">
        <v>39</v>
      </c>
      <c r="G7" s="318" t="s">
        <v>41</v>
      </c>
      <c r="H7" s="318" t="s">
        <v>42</v>
      </c>
      <c r="I7" s="318" t="s">
        <v>43</v>
      </c>
      <c r="J7" s="318" t="s">
        <v>44</v>
      </c>
      <c r="K7" s="318" t="s">
        <v>45</v>
      </c>
      <c r="L7" s="318" t="s">
        <v>47</v>
      </c>
      <c r="M7" s="758" t="s">
        <v>498</v>
      </c>
      <c r="N7" s="343" t="s">
        <v>514</v>
      </c>
      <c r="O7" s="343" t="s">
        <v>515</v>
      </c>
      <c r="P7" s="343" t="s">
        <v>517</v>
      </c>
      <c r="Q7" s="343" t="s">
        <v>519</v>
      </c>
      <c r="R7" s="343" t="s">
        <v>521</v>
      </c>
      <c r="S7" s="344"/>
      <c r="T7" s="345"/>
      <c r="U7" s="345"/>
      <c r="V7" s="345"/>
      <c r="W7" s="345"/>
      <c r="X7" s="345"/>
      <c r="Y7" s="345"/>
      <c r="Z7" s="346"/>
    </row>
    <row r="8" spans="1:26" ht="15.6">
      <c r="A8" s="403"/>
      <c r="B8" s="111">
        <f>'New Hire'!C6</f>
        <v>91999901</v>
      </c>
      <c r="C8" s="333">
        <f>'New Hire'!E6</f>
        <v>91999903</v>
      </c>
      <c r="D8" s="512">
        <f>'New Hire'!F6</f>
        <v>91999904</v>
      </c>
      <c r="E8" s="333">
        <f>'New Hire'!G6</f>
        <v>91999905</v>
      </c>
      <c r="F8" s="333">
        <f>'New Hire'!H6</f>
        <v>91999906</v>
      </c>
      <c r="G8" s="333">
        <f>'New Hire'!J6</f>
        <v>91999908</v>
      </c>
      <c r="H8" s="333">
        <f>'New Hire'!K6</f>
        <v>91999909</v>
      </c>
      <c r="I8" s="333">
        <f>'New Hire'!L6</f>
        <v>91999910</v>
      </c>
      <c r="J8" s="333">
        <f>'New Hire'!M6</f>
        <v>91999911</v>
      </c>
      <c r="K8" s="333">
        <f>'New Hire'!N6</f>
        <v>91999912</v>
      </c>
      <c r="L8" s="333">
        <f>'New Hire'!P6</f>
        <v>91999914</v>
      </c>
      <c r="M8" s="759"/>
      <c r="N8" s="343" t="s">
        <v>513</v>
      </c>
      <c r="O8" s="343" t="s">
        <v>516</v>
      </c>
      <c r="P8" s="343" t="s">
        <v>518</v>
      </c>
      <c r="Q8" s="343" t="s">
        <v>520</v>
      </c>
      <c r="R8" s="343" t="s">
        <v>522</v>
      </c>
      <c r="S8" s="47"/>
      <c r="T8" s="48"/>
      <c r="U8" s="20"/>
      <c r="V8" s="20"/>
      <c r="W8" s="20"/>
      <c r="X8" s="20"/>
      <c r="Y8" s="20"/>
      <c r="Z8" s="15"/>
    </row>
    <row r="9" spans="1:26" ht="12.75" customHeight="1">
      <c r="A9" s="404" t="s">
        <v>63</v>
      </c>
      <c r="B9" s="23"/>
      <c r="C9" s="19"/>
      <c r="D9" s="20"/>
      <c r="E9" s="19"/>
      <c r="F9" s="19"/>
      <c r="G9" s="19"/>
      <c r="H9" s="19"/>
      <c r="I9" s="20"/>
      <c r="J9" s="20"/>
      <c r="K9" s="20"/>
      <c r="L9" s="15"/>
      <c r="M9" s="15"/>
      <c r="N9" s="20"/>
      <c r="O9" s="20"/>
      <c r="P9" s="20"/>
      <c r="Q9" s="20"/>
      <c r="R9" s="20"/>
      <c r="S9" s="25"/>
      <c r="T9" s="26"/>
      <c r="U9" s="749" t="s">
        <v>601</v>
      </c>
      <c r="V9" s="750"/>
      <c r="W9" s="750"/>
      <c r="X9" s="751"/>
      <c r="Y9" s="27"/>
      <c r="Z9" s="18"/>
    </row>
    <row r="10" spans="1:26">
      <c r="A10" s="417" t="s">
        <v>478</v>
      </c>
      <c r="B10" s="379">
        <v>43800</v>
      </c>
      <c r="C10" s="379">
        <v>43800</v>
      </c>
      <c r="D10" s="379">
        <v>43800</v>
      </c>
      <c r="E10" s="379">
        <v>43800</v>
      </c>
      <c r="F10" s="379">
        <v>43800</v>
      </c>
      <c r="G10" s="379">
        <v>43800</v>
      </c>
      <c r="H10" s="379">
        <v>43800</v>
      </c>
      <c r="I10" s="379">
        <v>43800</v>
      </c>
      <c r="J10" s="379">
        <v>43800</v>
      </c>
      <c r="K10" s="379">
        <v>43800</v>
      </c>
      <c r="L10" s="379">
        <v>43800</v>
      </c>
      <c r="M10" s="15"/>
      <c r="N10" s="20"/>
      <c r="O10" s="20"/>
      <c r="P10" s="20"/>
      <c r="Q10" s="20"/>
      <c r="R10" s="20"/>
      <c r="S10" s="28"/>
      <c r="T10" s="29"/>
      <c r="U10" s="752"/>
      <c r="V10" s="753"/>
      <c r="W10" s="753"/>
      <c r="X10" s="754"/>
      <c r="Y10" s="30"/>
      <c r="Z10" s="15"/>
    </row>
    <row r="11" spans="1:26" ht="12.75" customHeight="1">
      <c r="A11" s="417" t="s">
        <v>877</v>
      </c>
      <c r="B11" s="379"/>
      <c r="C11" s="379"/>
      <c r="D11" s="379">
        <v>43789</v>
      </c>
      <c r="E11" s="379"/>
      <c r="F11" s="379"/>
      <c r="G11" s="379"/>
      <c r="H11" s="379"/>
      <c r="I11" s="379"/>
      <c r="J11" s="379"/>
      <c r="K11" s="379"/>
      <c r="L11" s="379"/>
      <c r="M11" s="15"/>
      <c r="N11" s="20"/>
      <c r="O11" s="20"/>
      <c r="P11" s="20"/>
      <c r="Q11" s="20"/>
      <c r="R11" s="20"/>
      <c r="S11" s="32"/>
      <c r="T11" s="20"/>
      <c r="U11" s="752"/>
      <c r="V11" s="753"/>
      <c r="W11" s="753"/>
      <c r="X11" s="754"/>
      <c r="Y11" s="20"/>
      <c r="Z11" s="15"/>
    </row>
    <row r="12" spans="1:26" ht="12.75" customHeight="1">
      <c r="A12" s="98" t="s">
        <v>489</v>
      </c>
      <c r="B12" s="381" t="str">
        <f>'New Hire'!C10</f>
        <v>1</v>
      </c>
      <c r="C12" s="382" t="str">
        <f>'New Hire'!E10</f>
        <v>3</v>
      </c>
      <c r="D12" s="382" t="s">
        <v>907</v>
      </c>
      <c r="E12" s="382">
        <f>'New Hire'!G10</f>
        <v>4</v>
      </c>
      <c r="F12" s="382" t="str">
        <f>'New Hire'!H10</f>
        <v>C</v>
      </c>
      <c r="G12" s="382" t="str">
        <f>'New Hire'!J10</f>
        <v>S</v>
      </c>
      <c r="H12" s="382" t="str">
        <f>'New Hire'!K10</f>
        <v>P</v>
      </c>
      <c r="I12" s="382" t="str">
        <f>'New Hire'!L10</f>
        <v>1</v>
      </c>
      <c r="J12" s="382" t="str">
        <f>'New Hire'!M10</f>
        <v>1</v>
      </c>
      <c r="K12" s="382">
        <f>'New Hire'!N10</f>
        <v>3</v>
      </c>
      <c r="L12" s="383" t="str">
        <f>'New Hire'!P10</f>
        <v>C</v>
      </c>
      <c r="M12" s="15"/>
      <c r="N12" s="20"/>
      <c r="O12" s="20"/>
      <c r="P12" s="20"/>
      <c r="Q12" s="20"/>
      <c r="R12" s="20"/>
      <c r="S12" s="32"/>
      <c r="T12" s="20"/>
      <c r="U12" s="755"/>
      <c r="V12" s="756"/>
      <c r="W12" s="756"/>
      <c r="X12" s="757"/>
      <c r="Y12" s="20"/>
      <c r="Z12" s="15"/>
    </row>
    <row r="13" spans="1:26">
      <c r="A13" s="98" t="s">
        <v>490</v>
      </c>
      <c r="B13" s="384" t="str">
        <f>'New Hire'!C11</f>
        <v>;P</v>
      </c>
      <c r="C13" s="385" t="str">
        <f>'New Hire'!E11</f>
        <v>;E</v>
      </c>
      <c r="D13" s="385" t="str">
        <f>'New Hire'!F11</f>
        <v>;I</v>
      </c>
      <c r="E13" s="385" t="str">
        <f>'New Hire'!G11</f>
        <v>;P</v>
      </c>
      <c r="F13" s="385" t="str">
        <f>'New Hire'!H11</f>
        <v>;A</v>
      </c>
      <c r="G13" s="385" t="str">
        <f>'New Hire'!J11</f>
        <v>;V</v>
      </c>
      <c r="H13" s="385" t="str">
        <f>'New Hire'!K11</f>
        <v>;P</v>
      </c>
      <c r="I13" s="385" t="str">
        <f>'New Hire'!L11</f>
        <v>;A</v>
      </c>
      <c r="J13" s="385" t="str">
        <f>'New Hire'!M11</f>
        <v>;I</v>
      </c>
      <c r="K13" s="385" t="str">
        <f>'New Hire'!N11</f>
        <v>;P</v>
      </c>
      <c r="L13" s="386" t="str">
        <f>'New Hire'!P11</f>
        <v>;I</v>
      </c>
      <c r="M13" s="15"/>
      <c r="N13" s="20"/>
      <c r="O13" s="20"/>
      <c r="P13" s="20"/>
      <c r="Q13" s="20"/>
      <c r="R13" s="20"/>
      <c r="S13" s="23"/>
      <c r="T13" s="19"/>
      <c r="U13" s="19"/>
      <c r="V13" s="19"/>
      <c r="W13" s="19"/>
      <c r="X13" s="19"/>
      <c r="Y13" s="19"/>
      <c r="Z13" s="31"/>
    </row>
    <row r="14" spans="1:26">
      <c r="A14" s="99" t="s">
        <v>476</v>
      </c>
      <c r="B14" s="388">
        <f>'New Hire'!C27</f>
        <v>1</v>
      </c>
      <c r="C14" s="332">
        <f>'New Hire'!E27</f>
        <v>1</v>
      </c>
      <c r="D14" s="332">
        <f>'New Hire'!F27</f>
        <v>1</v>
      </c>
      <c r="E14" s="332">
        <f>'New Hire'!G27</f>
        <v>0.8</v>
      </c>
      <c r="F14" s="332">
        <f>'New Hire'!H27</f>
        <v>1</v>
      </c>
      <c r="G14" s="332">
        <f>'New Hire'!J27</f>
        <v>0.75</v>
      </c>
      <c r="H14" s="332">
        <f>'New Hire'!K27</f>
        <v>0.6</v>
      </c>
      <c r="I14" s="332">
        <f>'New Hire'!L27</f>
        <v>1</v>
      </c>
      <c r="J14" s="332">
        <f>'New Hire'!M27</f>
        <v>1</v>
      </c>
      <c r="K14" s="332">
        <f>'New Hire'!N27</f>
        <v>1</v>
      </c>
      <c r="L14" s="389">
        <f>'New Hire'!P27</f>
        <v>1</v>
      </c>
      <c r="M14" s="15"/>
      <c r="N14" s="20"/>
      <c r="O14" s="20"/>
      <c r="P14" s="20"/>
      <c r="Q14" s="20"/>
      <c r="R14" s="20"/>
      <c r="S14" s="23"/>
      <c r="T14" s="19"/>
      <c r="U14" s="19"/>
      <c r="V14" s="19"/>
      <c r="W14" s="19"/>
      <c r="X14" s="19"/>
      <c r="Y14" s="19"/>
      <c r="Z14" s="31"/>
    </row>
    <row r="15" spans="1:26">
      <c r="A15" s="417" t="s">
        <v>479</v>
      </c>
      <c r="B15" s="332">
        <f t="shared" ref="B15:L15" si="0">NETWORKDAYS(B10,$A$6)</f>
        <v>22</v>
      </c>
      <c r="C15" s="332">
        <f t="shared" si="0"/>
        <v>22</v>
      </c>
      <c r="D15" s="332">
        <v>0</v>
      </c>
      <c r="E15" s="332">
        <f t="shared" si="0"/>
        <v>22</v>
      </c>
      <c r="F15" s="332">
        <f t="shared" si="0"/>
        <v>22</v>
      </c>
      <c r="G15" s="332">
        <f t="shared" si="0"/>
        <v>22</v>
      </c>
      <c r="H15" s="332">
        <f t="shared" si="0"/>
        <v>22</v>
      </c>
      <c r="I15" s="332">
        <f t="shared" si="0"/>
        <v>22</v>
      </c>
      <c r="J15" s="332">
        <f t="shared" si="0"/>
        <v>22</v>
      </c>
      <c r="K15" s="332">
        <f t="shared" si="0"/>
        <v>22</v>
      </c>
      <c r="L15" s="332">
        <f t="shared" si="0"/>
        <v>22</v>
      </c>
      <c r="M15" s="15"/>
      <c r="N15" s="20"/>
      <c r="O15" s="20"/>
      <c r="P15" s="20"/>
      <c r="Q15" s="20"/>
      <c r="R15" s="20"/>
      <c r="S15" s="23"/>
      <c r="T15" s="19"/>
      <c r="U15" s="19"/>
      <c r="V15" s="19"/>
      <c r="W15" s="19"/>
      <c r="X15" s="19"/>
      <c r="Y15" s="19"/>
      <c r="Z15" s="31"/>
    </row>
    <row r="16" spans="1:26">
      <c r="A16" s="513" t="s">
        <v>1144</v>
      </c>
      <c r="B16" s="425"/>
      <c r="C16" s="425"/>
      <c r="D16" s="425">
        <f>NETWORKDAYS('UAT11-Nov'!E10,D11)</f>
        <v>14</v>
      </c>
      <c r="E16" s="425"/>
      <c r="F16" s="425"/>
      <c r="G16" s="425"/>
      <c r="H16" s="425"/>
      <c r="I16" s="425"/>
      <c r="J16" s="425"/>
      <c r="K16" s="425"/>
      <c r="L16" s="425"/>
      <c r="M16" s="15"/>
      <c r="N16" s="20"/>
      <c r="O16" s="20"/>
      <c r="P16" s="20"/>
      <c r="Q16" s="20"/>
      <c r="R16" s="20"/>
      <c r="S16" s="23"/>
      <c r="T16" s="19"/>
      <c r="U16" s="19"/>
      <c r="V16" s="19"/>
      <c r="W16" s="19"/>
      <c r="X16" s="19"/>
      <c r="Y16" s="19"/>
      <c r="Z16" s="31"/>
    </row>
    <row r="17" spans="1:26">
      <c r="A17" s="417" t="s">
        <v>793</v>
      </c>
      <c r="B17" s="332">
        <f t="shared" ref="B17:L17" si="1">B15</f>
        <v>22</v>
      </c>
      <c r="C17" s="332">
        <f t="shared" si="1"/>
        <v>22</v>
      </c>
      <c r="D17" s="332">
        <f t="shared" si="1"/>
        <v>0</v>
      </c>
      <c r="E17" s="332">
        <f t="shared" si="1"/>
        <v>22</v>
      </c>
      <c r="F17" s="332">
        <f t="shared" si="1"/>
        <v>22</v>
      </c>
      <c r="G17" s="332">
        <f t="shared" si="1"/>
        <v>22</v>
      </c>
      <c r="H17" s="332">
        <f t="shared" si="1"/>
        <v>22</v>
      </c>
      <c r="I17" s="332">
        <f t="shared" si="1"/>
        <v>22</v>
      </c>
      <c r="J17" s="332">
        <f t="shared" si="1"/>
        <v>22</v>
      </c>
      <c r="K17" s="332">
        <f t="shared" si="1"/>
        <v>22</v>
      </c>
      <c r="L17" s="332">
        <f t="shared" si="1"/>
        <v>22</v>
      </c>
      <c r="M17" s="15"/>
      <c r="N17" s="20"/>
      <c r="O17" s="20"/>
      <c r="P17" s="20"/>
      <c r="Q17" s="20"/>
      <c r="R17" s="20"/>
      <c r="S17" s="23"/>
      <c r="T17" s="19"/>
      <c r="U17" s="19"/>
      <c r="V17" s="19"/>
      <c r="W17" s="19"/>
      <c r="X17" s="19"/>
      <c r="Y17" s="19"/>
      <c r="Z17" s="31"/>
    </row>
    <row r="18" spans="1:26">
      <c r="A18" s="417" t="s">
        <v>632</v>
      </c>
      <c r="B18" s="332">
        <f>NETWORKDAYS(EOMONTH($A$6,-1)+1,EOMONTH($A$6,0))</f>
        <v>22</v>
      </c>
      <c r="C18" s="332">
        <f t="shared" ref="C18:L18" si="2">NETWORKDAYS(EOMONTH($A$6,-1)+1,EOMONTH($A$6,0))</f>
        <v>22</v>
      </c>
      <c r="D18" s="332">
        <f t="shared" si="2"/>
        <v>22</v>
      </c>
      <c r="E18" s="332">
        <f t="shared" si="2"/>
        <v>22</v>
      </c>
      <c r="F18" s="332">
        <f t="shared" si="2"/>
        <v>22</v>
      </c>
      <c r="G18" s="332">
        <f t="shared" si="2"/>
        <v>22</v>
      </c>
      <c r="H18" s="332">
        <f t="shared" si="2"/>
        <v>22</v>
      </c>
      <c r="I18" s="332">
        <f t="shared" si="2"/>
        <v>22</v>
      </c>
      <c r="J18" s="332">
        <f t="shared" si="2"/>
        <v>22</v>
      </c>
      <c r="K18" s="332">
        <f t="shared" si="2"/>
        <v>22</v>
      </c>
      <c r="L18" s="389">
        <f t="shared" si="2"/>
        <v>22</v>
      </c>
      <c r="M18" s="15"/>
      <c r="N18" s="20"/>
      <c r="O18" s="20"/>
      <c r="P18" s="20"/>
      <c r="Q18" s="20"/>
      <c r="R18" s="20"/>
      <c r="S18" s="23"/>
      <c r="T18" s="19"/>
      <c r="U18" s="19"/>
      <c r="V18" s="19"/>
      <c r="W18" s="19"/>
      <c r="X18" s="19"/>
      <c r="Y18" s="19"/>
      <c r="Z18" s="31"/>
    </row>
    <row r="19" spans="1:26">
      <c r="A19" s="417" t="s">
        <v>511</v>
      </c>
      <c r="B19" s="329">
        <f>_xlfn.DAYS($A$6,B10)+1</f>
        <v>31</v>
      </c>
      <c r="C19" s="329">
        <f>_xlfn.DAYS($A$6,C10)+1</f>
        <v>31</v>
      </c>
      <c r="D19" s="329">
        <v>0</v>
      </c>
      <c r="E19" s="329">
        <f t="shared" ref="E19:L19" si="3">_xlfn.DAYS($A$6,E10)+1</f>
        <v>31</v>
      </c>
      <c r="F19" s="329">
        <f t="shared" si="3"/>
        <v>31</v>
      </c>
      <c r="G19" s="329">
        <f t="shared" si="3"/>
        <v>31</v>
      </c>
      <c r="H19" s="329">
        <f t="shared" si="3"/>
        <v>31</v>
      </c>
      <c r="I19" s="329">
        <f t="shared" si="3"/>
        <v>31</v>
      </c>
      <c r="J19" s="329">
        <f t="shared" si="3"/>
        <v>31</v>
      </c>
      <c r="K19" s="329">
        <f t="shared" si="3"/>
        <v>31</v>
      </c>
      <c r="L19" s="329">
        <f t="shared" si="3"/>
        <v>31</v>
      </c>
      <c r="M19" s="15"/>
      <c r="N19" s="20"/>
      <c r="O19" s="20"/>
      <c r="P19" s="20"/>
      <c r="Q19" s="20"/>
      <c r="R19" s="20"/>
      <c r="S19" s="23"/>
      <c r="T19" s="19"/>
      <c r="U19" s="19"/>
      <c r="V19" s="19"/>
      <c r="W19" s="19"/>
      <c r="X19" s="19"/>
      <c r="Y19" s="19"/>
      <c r="Z19" s="31"/>
    </row>
    <row r="20" spans="1:26">
      <c r="A20" s="513" t="s">
        <v>1145</v>
      </c>
      <c r="B20" s="426"/>
      <c r="C20" s="426"/>
      <c r="D20" s="426">
        <f>_xlfn.DAYS(D11,'UAT11-Nov'!E10)</f>
        <v>19</v>
      </c>
      <c r="E20" s="426"/>
      <c r="F20" s="426"/>
      <c r="G20" s="426"/>
      <c r="H20" s="426"/>
      <c r="I20" s="426"/>
      <c r="J20" s="426"/>
      <c r="K20" s="426"/>
      <c r="L20" s="426"/>
      <c r="M20" s="15"/>
      <c r="N20" s="20"/>
      <c r="O20" s="20"/>
      <c r="P20" s="20"/>
      <c r="Q20" s="20"/>
      <c r="R20" s="20"/>
      <c r="S20" s="23"/>
      <c r="T20" s="19"/>
      <c r="U20" s="19"/>
      <c r="V20" s="19"/>
      <c r="W20" s="19"/>
      <c r="X20" s="19"/>
      <c r="Y20" s="19"/>
      <c r="Z20" s="31"/>
    </row>
    <row r="21" spans="1:26">
      <c r="A21" s="98" t="s">
        <v>531</v>
      </c>
      <c r="B21" s="330">
        <f>DATEDIF('New Hire'!C41,$A$6,"Y")</f>
        <v>10</v>
      </c>
      <c r="C21" s="331">
        <f>DATEDIF('New Hire'!E41,$A$6,"Y")</f>
        <v>0</v>
      </c>
      <c r="D21" s="331">
        <f>DATEDIF('New Hire'!F41,D11,"Y")</f>
        <v>4</v>
      </c>
      <c r="E21" s="331">
        <f>DATEDIF('New Hire'!G41,$A$6,"Y")</f>
        <v>10</v>
      </c>
      <c r="F21" s="331">
        <f>DATEDIF('New Hire'!H41,$A$6,"Y")</f>
        <v>0</v>
      </c>
      <c r="G21" s="331">
        <f>DATEDIF('New Hire'!J41,$A$6,"Y")</f>
        <v>0</v>
      </c>
      <c r="H21" s="331">
        <f>DATEDIF('New Hire'!K41,$A$6,"Y")</f>
        <v>0</v>
      </c>
      <c r="I21" s="331">
        <f>DATEDIF('New Hire'!L41,$A$6,"Y")</f>
        <v>10</v>
      </c>
      <c r="J21" s="331">
        <f>DATEDIF('New Hire'!M41,$A$6,"Y")</f>
        <v>5</v>
      </c>
      <c r="K21" s="331">
        <f>DATEDIF('New Hire'!N41,$A$6,"Y")</f>
        <v>0</v>
      </c>
      <c r="L21" s="387">
        <f>DATEDIF('New Hire'!P41,$A$6,"Y")</f>
        <v>0</v>
      </c>
      <c r="M21" s="15"/>
      <c r="N21" s="20"/>
      <c r="O21" s="20"/>
      <c r="P21" s="20"/>
      <c r="Q21" s="20"/>
      <c r="R21" s="20"/>
      <c r="S21" s="23"/>
      <c r="T21" s="19"/>
      <c r="U21" s="19"/>
      <c r="V21" s="19"/>
      <c r="W21" s="19"/>
      <c r="X21" s="19"/>
      <c r="Y21" s="19"/>
      <c r="Z21" s="31"/>
    </row>
    <row r="22" spans="1:26" ht="15.6">
      <c r="A22" s="98" t="s">
        <v>563</v>
      </c>
      <c r="B22" s="330" t="str">
        <f>'New Hire'!C52</f>
        <v>A</v>
      </c>
      <c r="C22" s="331" t="str">
        <f>'New Hire'!E52</f>
        <v>A</v>
      </c>
      <c r="D22" s="331" t="str">
        <f>'New Hire'!F52</f>
        <v>B</v>
      </c>
      <c r="E22" s="331" t="str">
        <f>'New Hire'!G52</f>
        <v>B</v>
      </c>
      <c r="F22" s="331" t="str">
        <f>'New Hire'!H52</f>
        <v>C</v>
      </c>
      <c r="G22" s="331" t="str">
        <f>'New Hire'!J52</f>
        <v>D</v>
      </c>
      <c r="H22" s="331" t="str">
        <f>'New Hire'!K52</f>
        <v>A</v>
      </c>
      <c r="I22" s="331" t="str">
        <f>'New Hire'!L52</f>
        <v>A</v>
      </c>
      <c r="J22" s="618" t="s">
        <v>1157</v>
      </c>
      <c r="K22" s="331" t="str">
        <f>'New Hire'!N52</f>
        <v>A</v>
      </c>
      <c r="L22" s="387" t="str">
        <f>'New Hire'!P52</f>
        <v>B</v>
      </c>
      <c r="M22" s="15"/>
      <c r="N22" s="20"/>
      <c r="O22" s="20"/>
      <c r="P22" s="20"/>
      <c r="Q22" s="20"/>
      <c r="R22" s="20"/>
      <c r="S22" s="40"/>
      <c r="T22" s="41"/>
      <c r="U22" s="19"/>
      <c r="V22" s="19"/>
      <c r="W22" s="19"/>
      <c r="X22" s="19"/>
      <c r="Y22" s="16"/>
      <c r="Z22" s="17"/>
    </row>
    <row r="23" spans="1:26">
      <c r="A23" s="97" t="s">
        <v>107</v>
      </c>
      <c r="B23" s="90">
        <v>1</v>
      </c>
      <c r="C23" s="88">
        <v>0</v>
      </c>
      <c r="D23" s="88">
        <v>3</v>
      </c>
      <c r="E23" s="88">
        <v>0</v>
      </c>
      <c r="F23" s="88">
        <v>0</v>
      </c>
      <c r="G23" s="88">
        <v>0</v>
      </c>
      <c r="H23" s="88">
        <v>0</v>
      </c>
      <c r="I23" s="88">
        <v>0</v>
      </c>
      <c r="J23" s="88">
        <v>0</v>
      </c>
      <c r="K23" s="88">
        <v>0</v>
      </c>
      <c r="L23" s="392">
        <v>0</v>
      </c>
      <c r="M23" s="15"/>
      <c r="N23" s="66"/>
      <c r="O23" s="66"/>
      <c r="P23" s="66"/>
      <c r="Q23" s="66"/>
      <c r="R23" s="66"/>
      <c r="S23" s="50"/>
      <c r="T23" s="44"/>
      <c r="U23" s="44"/>
      <c r="V23" s="44"/>
      <c r="W23" s="44"/>
      <c r="X23" s="44"/>
      <c r="Y23" s="44"/>
      <c r="Z23" s="51"/>
    </row>
    <row r="24" spans="1:26">
      <c r="A24" s="96" t="s">
        <v>113</v>
      </c>
      <c r="B24" s="319">
        <f>3600000*B23</f>
        <v>3600000</v>
      </c>
      <c r="C24" s="89">
        <f t="shared" ref="C24:L24" si="4">3600000*C23</f>
        <v>0</v>
      </c>
      <c r="D24" s="89">
        <f t="shared" si="4"/>
        <v>10800000</v>
      </c>
      <c r="E24" s="89">
        <f t="shared" si="4"/>
        <v>0</v>
      </c>
      <c r="F24" s="89">
        <f t="shared" si="4"/>
        <v>0</v>
      </c>
      <c r="G24" s="89">
        <f t="shared" si="4"/>
        <v>0</v>
      </c>
      <c r="H24" s="89">
        <f t="shared" si="4"/>
        <v>0</v>
      </c>
      <c r="I24" s="89">
        <f t="shared" si="4"/>
        <v>0</v>
      </c>
      <c r="J24" s="89">
        <f t="shared" si="4"/>
        <v>0</v>
      </c>
      <c r="K24" s="89">
        <f t="shared" si="4"/>
        <v>0</v>
      </c>
      <c r="L24" s="393">
        <f t="shared" si="4"/>
        <v>0</v>
      </c>
      <c r="M24" s="15"/>
      <c r="N24" s="66"/>
      <c r="O24" s="66"/>
      <c r="P24" s="66"/>
      <c r="Q24" s="66"/>
      <c r="R24" s="66"/>
      <c r="S24" s="112" t="s">
        <v>57</v>
      </c>
      <c r="T24" s="113" t="s">
        <v>67</v>
      </c>
      <c r="U24" s="113" t="s">
        <v>69</v>
      </c>
      <c r="V24" s="113" t="s">
        <v>70</v>
      </c>
      <c r="W24" s="113" t="s">
        <v>56</v>
      </c>
      <c r="X24" s="113" t="s">
        <v>54</v>
      </c>
      <c r="Y24" s="113" t="s">
        <v>58</v>
      </c>
      <c r="Z24" s="114" t="s">
        <v>59</v>
      </c>
    </row>
    <row r="25" spans="1:26">
      <c r="A25" s="96" t="s">
        <v>114</v>
      </c>
      <c r="B25" s="320">
        <v>9000000</v>
      </c>
      <c r="C25" s="89">
        <v>9000000</v>
      </c>
      <c r="D25" s="89">
        <v>9000000</v>
      </c>
      <c r="E25" s="89">
        <v>9000000</v>
      </c>
      <c r="F25" s="89">
        <v>9000000</v>
      </c>
      <c r="G25" s="89">
        <v>9000000</v>
      </c>
      <c r="H25" s="89">
        <v>9000000</v>
      </c>
      <c r="I25" s="89">
        <v>9000000</v>
      </c>
      <c r="J25" s="89">
        <v>9000000</v>
      </c>
      <c r="K25" s="89">
        <v>9000000</v>
      </c>
      <c r="L25" s="393">
        <v>9000000</v>
      </c>
      <c r="M25" s="15"/>
      <c r="N25" s="66"/>
      <c r="O25" s="66"/>
      <c r="P25" s="66"/>
      <c r="Q25" s="66"/>
      <c r="R25" s="66"/>
      <c r="S25" s="350" t="s">
        <v>2</v>
      </c>
      <c r="T25" s="351">
        <v>91999901</v>
      </c>
      <c r="U25" s="352" t="s">
        <v>505</v>
      </c>
      <c r="V25" s="352" t="s">
        <v>506</v>
      </c>
      <c r="W25" s="353" t="s">
        <v>507</v>
      </c>
      <c r="X25" s="354">
        <v>8000000</v>
      </c>
      <c r="Y25" s="352"/>
      <c r="Z25" s="355"/>
    </row>
    <row r="26" spans="1:26" ht="15.6">
      <c r="A26" s="406" t="s">
        <v>53</v>
      </c>
      <c r="B26" s="64"/>
      <c r="C26" s="65"/>
      <c r="D26" s="66"/>
      <c r="E26" s="65"/>
      <c r="F26" s="65"/>
      <c r="G26" s="65"/>
      <c r="H26" s="65"/>
      <c r="I26" s="66"/>
      <c r="J26" s="66"/>
      <c r="K26" s="66"/>
      <c r="L26" s="66"/>
      <c r="M26" s="337"/>
      <c r="N26" s="66"/>
      <c r="O26" s="66"/>
      <c r="P26" s="66"/>
      <c r="Q26" s="66"/>
      <c r="R26" s="66"/>
      <c r="S26" s="350" t="s">
        <v>2</v>
      </c>
      <c r="T26" s="351">
        <v>91999902</v>
      </c>
      <c r="U26" s="352" t="s">
        <v>505</v>
      </c>
      <c r="V26" s="352" t="s">
        <v>506</v>
      </c>
      <c r="W26" s="353" t="s">
        <v>507</v>
      </c>
      <c r="X26" s="354">
        <v>8000000</v>
      </c>
      <c r="Y26" s="352"/>
      <c r="Z26" s="355"/>
    </row>
    <row r="27" spans="1:26">
      <c r="A27" s="407" t="s">
        <v>55</v>
      </c>
      <c r="B27" s="64"/>
      <c r="C27" s="65"/>
      <c r="D27" s="66"/>
      <c r="E27" s="65"/>
      <c r="F27" s="65"/>
      <c r="G27" s="65"/>
      <c r="H27" s="65"/>
      <c r="I27" s="66"/>
      <c r="J27" s="66"/>
      <c r="K27" s="66"/>
      <c r="L27" s="376"/>
      <c r="M27" s="376"/>
      <c r="N27" s="66"/>
      <c r="O27" s="66"/>
      <c r="P27" s="66"/>
      <c r="Q27" s="66"/>
      <c r="R27" s="66"/>
      <c r="S27" s="350" t="s">
        <v>2</v>
      </c>
      <c r="T27" s="351">
        <v>91999904</v>
      </c>
      <c r="U27" s="352" t="s">
        <v>509</v>
      </c>
      <c r="V27" s="352" t="s">
        <v>506</v>
      </c>
      <c r="W27" s="353" t="s">
        <v>507</v>
      </c>
      <c r="X27" s="354">
        <v>8000000</v>
      </c>
      <c r="Y27" s="352"/>
      <c r="Z27" s="355"/>
    </row>
    <row r="28" spans="1:26">
      <c r="A28" s="436" t="s">
        <v>477</v>
      </c>
      <c r="B28" s="326">
        <f t="shared" ref="B28:I28" si="5">IF(OR(B22="A",B22="B"),IF(B12&lt;&gt;"C",ROUND(B126*B86,0),0),IF(B12&lt;&gt;"C",ROUND(B139*$B$4,0),0))</f>
        <v>7000000</v>
      </c>
      <c r="C28" s="326">
        <f t="shared" si="5"/>
        <v>11000000</v>
      </c>
      <c r="D28" s="326">
        <f t="shared" si="5"/>
        <v>0</v>
      </c>
      <c r="E28" s="326">
        <f t="shared" si="5"/>
        <v>16000000</v>
      </c>
      <c r="F28" s="326">
        <f t="shared" si="5"/>
        <v>0</v>
      </c>
      <c r="G28" s="326">
        <f t="shared" si="5"/>
        <v>90499500</v>
      </c>
      <c r="H28" s="326">
        <f t="shared" si="5"/>
        <v>55000000</v>
      </c>
      <c r="I28" s="326">
        <f t="shared" si="5"/>
        <v>10000000</v>
      </c>
      <c r="J28" s="326">
        <f>ROUND(J126*J86,0)</f>
        <v>11500000</v>
      </c>
      <c r="K28" s="326">
        <f>IF(OR(K22="A",K22="B"),IF(K12&lt;&gt;"C",ROUND(K126*K86,0),0),IF(K12&lt;&gt;"C",ROUND(K139*$B$4,0),0))</f>
        <v>7000000</v>
      </c>
      <c r="L28" s="326">
        <f>IF(OR(L22="A",L22="B"),IF(L12&lt;&gt;"C",ROUND(L126*L86,0),0),IF(L12&lt;&gt;"C",ROUND(L139*$B$4,0),0))</f>
        <v>0</v>
      </c>
      <c r="M28" s="349">
        <f t="shared" ref="M28:M33" si="6">SUM(B28:L28)</f>
        <v>207999500</v>
      </c>
      <c r="N28" s="89" t="s">
        <v>523</v>
      </c>
      <c r="O28" s="89" t="s">
        <v>523</v>
      </c>
      <c r="P28" s="89" t="s">
        <v>523</v>
      </c>
      <c r="Q28" s="89" t="s">
        <v>523</v>
      </c>
      <c r="R28" s="89" t="s">
        <v>523</v>
      </c>
      <c r="S28" s="350" t="s">
        <v>2</v>
      </c>
      <c r="T28" s="351">
        <v>91999905</v>
      </c>
      <c r="U28" s="352" t="s">
        <v>505</v>
      </c>
      <c r="V28" s="352" t="s">
        <v>506</v>
      </c>
      <c r="W28" s="353" t="s">
        <v>507</v>
      </c>
      <c r="X28" s="354">
        <v>8000000</v>
      </c>
      <c r="Y28" s="352"/>
      <c r="Z28" s="355"/>
    </row>
    <row r="29" spans="1:26">
      <c r="A29" s="452" t="s">
        <v>629</v>
      </c>
      <c r="B29" s="431"/>
      <c r="C29" s="431"/>
      <c r="D29" s="431">
        <f>ROUND(D126*D87,0)-'UAT11-Nov'!E26</f>
        <v>-3666667</v>
      </c>
      <c r="E29" s="431"/>
      <c r="F29" s="431"/>
      <c r="G29" s="431"/>
      <c r="H29" s="431"/>
      <c r="I29" s="431"/>
      <c r="J29" s="431"/>
      <c r="K29" s="431"/>
      <c r="L29" s="431"/>
      <c r="M29" s="453">
        <f t="shared" si="6"/>
        <v>-3666667</v>
      </c>
      <c r="N29" s="428" t="s">
        <v>523</v>
      </c>
      <c r="O29" s="428" t="s">
        <v>523</v>
      </c>
      <c r="P29" s="428" t="s">
        <v>523</v>
      </c>
      <c r="Q29" s="428" t="s">
        <v>523</v>
      </c>
      <c r="R29" s="428" t="s">
        <v>523</v>
      </c>
      <c r="S29" s="350" t="s">
        <v>2</v>
      </c>
      <c r="T29" s="351">
        <v>91999906</v>
      </c>
      <c r="U29" s="352" t="s">
        <v>505</v>
      </c>
      <c r="V29" s="352" t="s">
        <v>506</v>
      </c>
      <c r="W29" s="353" t="s">
        <v>507</v>
      </c>
      <c r="X29" s="354">
        <v>8000000</v>
      </c>
      <c r="Y29" s="352"/>
      <c r="Z29" s="355"/>
    </row>
    <row r="30" spans="1:26">
      <c r="A30" s="442" t="s">
        <v>494</v>
      </c>
      <c r="B30" s="326">
        <f t="shared" ref="B30:L30" si="7">IF(OR(B22="A",B22="B"),ROUND(B128*B86,0),ROUND(B128*B86*$B$4,0))</f>
        <v>700000</v>
      </c>
      <c r="C30" s="326">
        <f t="shared" si="7"/>
        <v>1100000</v>
      </c>
      <c r="D30" s="326">
        <f t="shared" si="7"/>
        <v>0</v>
      </c>
      <c r="E30" s="326">
        <f t="shared" si="7"/>
        <v>0</v>
      </c>
      <c r="F30" s="326">
        <f t="shared" si="7"/>
        <v>0</v>
      </c>
      <c r="G30" s="326">
        <f t="shared" si="7"/>
        <v>0</v>
      </c>
      <c r="H30" s="326">
        <f t="shared" si="7"/>
        <v>5500000</v>
      </c>
      <c r="I30" s="326">
        <f t="shared" si="7"/>
        <v>1000000</v>
      </c>
      <c r="J30" s="326">
        <f t="shared" si="7"/>
        <v>0</v>
      </c>
      <c r="K30" s="326">
        <f t="shared" si="7"/>
        <v>1400000</v>
      </c>
      <c r="L30" s="394">
        <f t="shared" si="7"/>
        <v>0</v>
      </c>
      <c r="M30" s="349">
        <f t="shared" si="6"/>
        <v>9700000</v>
      </c>
      <c r="N30" s="373" t="s">
        <v>523</v>
      </c>
      <c r="O30" s="373" t="s">
        <v>523</v>
      </c>
      <c r="P30" s="373" t="s">
        <v>523</v>
      </c>
      <c r="Q30" s="373" t="s">
        <v>523</v>
      </c>
      <c r="R30" s="89" t="s">
        <v>523</v>
      </c>
      <c r="S30" s="350" t="s">
        <v>2</v>
      </c>
      <c r="T30" s="351">
        <v>91999901</v>
      </c>
      <c r="U30" s="352" t="s">
        <v>505</v>
      </c>
      <c r="V30" s="352" t="s">
        <v>506</v>
      </c>
      <c r="W30" s="353" t="s">
        <v>535</v>
      </c>
      <c r="X30" s="354">
        <v>7000000</v>
      </c>
      <c r="Y30" s="352"/>
      <c r="Z30" s="355"/>
    </row>
    <row r="31" spans="1:26">
      <c r="A31" s="442" t="s">
        <v>566</v>
      </c>
      <c r="B31" s="326">
        <f t="shared" ref="B31:L31" si="8">IF(OR(B22="A",B22="B"),ROUND(B129*B86,0),ROUND(B129*B86*$B$4,0))</f>
        <v>1400000</v>
      </c>
      <c r="C31" s="326">
        <f t="shared" si="8"/>
        <v>2350000</v>
      </c>
      <c r="D31" s="326">
        <f t="shared" si="8"/>
        <v>0</v>
      </c>
      <c r="E31" s="326">
        <f t="shared" si="8"/>
        <v>0</v>
      </c>
      <c r="F31" s="326">
        <f t="shared" si="8"/>
        <v>0</v>
      </c>
      <c r="G31" s="326">
        <f t="shared" si="8"/>
        <v>0</v>
      </c>
      <c r="H31" s="326">
        <f t="shared" si="8"/>
        <v>11000000</v>
      </c>
      <c r="I31" s="326">
        <f t="shared" si="8"/>
        <v>2000000</v>
      </c>
      <c r="J31" s="326">
        <f t="shared" si="8"/>
        <v>0</v>
      </c>
      <c r="K31" s="326">
        <f t="shared" si="8"/>
        <v>2100000</v>
      </c>
      <c r="L31" s="394">
        <f t="shared" si="8"/>
        <v>0</v>
      </c>
      <c r="M31" s="349">
        <f t="shared" si="6"/>
        <v>18850000</v>
      </c>
      <c r="N31" s="373" t="s">
        <v>523</v>
      </c>
      <c r="O31" s="373" t="s">
        <v>523</v>
      </c>
      <c r="P31" s="373" t="s">
        <v>523</v>
      </c>
      <c r="Q31" s="373" t="s">
        <v>523</v>
      </c>
      <c r="R31" s="89" t="s">
        <v>523</v>
      </c>
      <c r="S31" s="350" t="s">
        <v>2</v>
      </c>
      <c r="T31" s="351">
        <v>91999902</v>
      </c>
      <c r="U31" s="352" t="s">
        <v>505</v>
      </c>
      <c r="V31" s="352" t="s">
        <v>506</v>
      </c>
      <c r="W31" s="353" t="s">
        <v>535</v>
      </c>
      <c r="X31" s="354">
        <v>7000000</v>
      </c>
      <c r="Y31" s="352"/>
      <c r="Z31" s="355"/>
    </row>
    <row r="32" spans="1:26">
      <c r="A32" s="436" t="s">
        <v>426</v>
      </c>
      <c r="B32" s="326"/>
      <c r="C32" s="326"/>
      <c r="D32" s="334"/>
      <c r="E32" s="326"/>
      <c r="F32" s="326">
        <f>ROUND(F127*B4,0)*Z46+ROUND(F127*B4,0)*Z47</f>
        <v>29006250</v>
      </c>
      <c r="G32" s="326"/>
      <c r="H32" s="326"/>
      <c r="I32" s="334"/>
      <c r="J32" s="334"/>
      <c r="K32" s="334"/>
      <c r="L32" s="395">
        <f>ROUND(L127*Z48,0)+ROUND(L127*Z49,0)</f>
        <v>4500000</v>
      </c>
      <c r="M32" s="349">
        <f t="shared" si="6"/>
        <v>33506250</v>
      </c>
      <c r="N32" s="373" t="s">
        <v>523</v>
      </c>
      <c r="O32" s="373" t="s">
        <v>523</v>
      </c>
      <c r="P32" s="373"/>
      <c r="Q32" s="373"/>
      <c r="R32" s="373"/>
      <c r="S32" s="350" t="s">
        <v>2</v>
      </c>
      <c r="T32" s="351">
        <v>91999904</v>
      </c>
      <c r="U32" s="352" t="s">
        <v>509</v>
      </c>
      <c r="V32" s="352" t="s">
        <v>506</v>
      </c>
      <c r="W32" s="353" t="s">
        <v>535</v>
      </c>
      <c r="X32" s="354">
        <v>7000000</v>
      </c>
      <c r="Y32" s="352"/>
      <c r="Z32" s="355"/>
    </row>
    <row r="33" spans="1:28">
      <c r="A33" s="488" t="s">
        <v>694</v>
      </c>
      <c r="B33" s="492"/>
      <c r="C33" s="431"/>
      <c r="D33" s="431"/>
      <c r="E33" s="431"/>
      <c r="F33" s="431"/>
      <c r="G33" s="431"/>
      <c r="H33" s="431"/>
      <c r="I33" s="431"/>
      <c r="J33" s="431"/>
      <c r="K33" s="431">
        <f>K77+K78</f>
        <v>1615400</v>
      </c>
      <c r="L33" s="493"/>
      <c r="M33" s="453">
        <f t="shared" si="6"/>
        <v>1615400</v>
      </c>
      <c r="N33" s="437" t="s">
        <v>523</v>
      </c>
      <c r="O33" s="437" t="s">
        <v>523</v>
      </c>
      <c r="P33" s="428"/>
      <c r="Q33" s="428"/>
      <c r="R33" s="428"/>
      <c r="S33" s="350" t="s">
        <v>2</v>
      </c>
      <c r="T33" s="351">
        <v>91999905</v>
      </c>
      <c r="U33" s="352" t="s">
        <v>505</v>
      </c>
      <c r="V33" s="352" t="s">
        <v>506</v>
      </c>
      <c r="W33" s="353" t="s">
        <v>535</v>
      </c>
      <c r="X33" s="354">
        <v>7000000</v>
      </c>
      <c r="Y33" s="352"/>
      <c r="Z33" s="355"/>
    </row>
    <row r="34" spans="1:28">
      <c r="A34" s="408"/>
      <c r="B34" s="443"/>
      <c r="C34" s="443"/>
      <c r="D34" s="443"/>
      <c r="E34" s="443"/>
      <c r="F34" s="443"/>
      <c r="G34" s="443"/>
      <c r="H34" s="443"/>
      <c r="I34" s="443"/>
      <c r="J34" s="443"/>
      <c r="K34" s="443"/>
      <c r="L34" s="395"/>
      <c r="M34" s="521"/>
      <c r="N34" s="522"/>
      <c r="O34" s="522"/>
      <c r="P34" s="522"/>
      <c r="Q34" s="522"/>
      <c r="R34" s="522"/>
      <c r="S34" s="350" t="s">
        <v>2</v>
      </c>
      <c r="T34" s="351">
        <v>91999906</v>
      </c>
      <c r="U34" s="352" t="s">
        <v>505</v>
      </c>
      <c r="V34" s="352" t="s">
        <v>506</v>
      </c>
      <c r="W34" s="353" t="s">
        <v>535</v>
      </c>
      <c r="X34" s="354">
        <v>7000000</v>
      </c>
      <c r="Y34" s="352"/>
      <c r="Z34" s="355"/>
    </row>
    <row r="35" spans="1:28">
      <c r="A35" s="510" t="s">
        <v>569</v>
      </c>
      <c r="B35" s="326"/>
      <c r="C35" s="326"/>
      <c r="D35" s="334"/>
      <c r="E35" s="326"/>
      <c r="F35" s="326"/>
      <c r="G35" s="326"/>
      <c r="H35" s="326"/>
      <c r="I35" s="334"/>
      <c r="J35" s="334"/>
      <c r="K35" s="334"/>
      <c r="L35" s="395"/>
      <c r="M35" s="349"/>
      <c r="N35" s="522"/>
      <c r="O35" s="522"/>
      <c r="P35" s="522"/>
      <c r="Q35" s="522"/>
      <c r="R35" s="522"/>
      <c r="S35" s="350" t="s">
        <v>2</v>
      </c>
      <c r="T35" s="351">
        <v>91999907</v>
      </c>
      <c r="U35" s="352" t="s">
        <v>596</v>
      </c>
      <c r="V35" s="352" t="s">
        <v>506</v>
      </c>
      <c r="W35" s="353">
        <v>7065</v>
      </c>
      <c r="X35" s="354">
        <v>100</v>
      </c>
      <c r="Y35" s="438" t="s">
        <v>539</v>
      </c>
      <c r="Z35" s="439"/>
    </row>
    <row r="36" spans="1:28">
      <c r="A36" s="436" t="s">
        <v>510</v>
      </c>
      <c r="B36" s="326">
        <f t="shared" ref="B36:L36" si="9">IF(OR(B22="A",B22="B"),B90,ROUND(B90*B14%,0))</f>
        <v>679452</v>
      </c>
      <c r="C36" s="326">
        <f t="shared" si="9"/>
        <v>0</v>
      </c>
      <c r="D36" s="326">
        <f t="shared" si="9"/>
        <v>0</v>
      </c>
      <c r="E36" s="326">
        <f t="shared" si="9"/>
        <v>679452</v>
      </c>
      <c r="F36" s="326">
        <f t="shared" si="9"/>
        <v>0</v>
      </c>
      <c r="G36" s="326">
        <f t="shared" si="9"/>
        <v>0</v>
      </c>
      <c r="H36" s="326">
        <f t="shared" si="9"/>
        <v>0</v>
      </c>
      <c r="I36" s="326">
        <f t="shared" si="9"/>
        <v>0</v>
      </c>
      <c r="J36" s="326">
        <f t="shared" si="9"/>
        <v>0</v>
      </c>
      <c r="K36" s="326">
        <f t="shared" si="9"/>
        <v>0</v>
      </c>
      <c r="L36" s="394">
        <f t="shared" si="9"/>
        <v>0</v>
      </c>
      <c r="M36" s="340">
        <f>SUM(B36:L36)</f>
        <v>1358904</v>
      </c>
      <c r="N36" s="373"/>
      <c r="O36" s="373" t="s">
        <v>523</v>
      </c>
      <c r="P36" s="522"/>
      <c r="Q36" s="522"/>
      <c r="R36" s="522"/>
      <c r="S36" s="350" t="s">
        <v>2</v>
      </c>
      <c r="T36" s="351">
        <v>91999908</v>
      </c>
      <c r="U36" s="352" t="s">
        <v>505</v>
      </c>
      <c r="V36" s="352" t="s">
        <v>506</v>
      </c>
      <c r="W36" s="353">
        <v>7065</v>
      </c>
      <c r="X36" s="354">
        <v>100</v>
      </c>
      <c r="Y36" s="438" t="s">
        <v>539</v>
      </c>
      <c r="Z36" s="439"/>
    </row>
    <row r="37" spans="1:28">
      <c r="A37" s="452" t="s">
        <v>1149</v>
      </c>
      <c r="B37" s="431"/>
      <c r="C37" s="431"/>
      <c r="D37" s="431">
        <f>D91</f>
        <v>-241096</v>
      </c>
      <c r="E37" s="431"/>
      <c r="F37" s="431"/>
      <c r="G37" s="431"/>
      <c r="H37" s="431"/>
      <c r="I37" s="431"/>
      <c r="J37" s="431"/>
      <c r="K37" s="431"/>
      <c r="L37" s="493"/>
      <c r="M37" s="486"/>
      <c r="N37" s="437"/>
      <c r="O37" s="437" t="s">
        <v>523</v>
      </c>
      <c r="P37" s="437"/>
      <c r="Q37" s="437"/>
      <c r="R37" s="437"/>
      <c r="S37" s="350" t="s">
        <v>2</v>
      </c>
      <c r="T37" s="351">
        <v>91999907</v>
      </c>
      <c r="U37" s="352" t="s">
        <v>596</v>
      </c>
      <c r="V37" s="352" t="s">
        <v>506</v>
      </c>
      <c r="W37" s="353">
        <v>7070</v>
      </c>
      <c r="X37" s="354">
        <v>200</v>
      </c>
      <c r="Y37" s="438" t="s">
        <v>539</v>
      </c>
      <c r="Z37" s="439"/>
    </row>
    <row r="38" spans="1:28">
      <c r="A38" s="436" t="s">
        <v>532</v>
      </c>
      <c r="B38" s="326">
        <f t="shared" ref="B38:L38" si="10">IF(OR(B22="A",B22="B"),ROUND(2369796/365*B19,0),ROUND(ROUND(2466.55*$B$4,0)/365*B19,0))*B23*IF(B21&lt;3,0,IF(B21&lt;6,50%,100%))</f>
        <v>201270</v>
      </c>
      <c r="C38" s="326">
        <f t="shared" si="10"/>
        <v>0</v>
      </c>
      <c r="D38" s="326">
        <f t="shared" si="10"/>
        <v>0</v>
      </c>
      <c r="E38" s="326">
        <f t="shared" si="10"/>
        <v>0</v>
      </c>
      <c r="F38" s="326">
        <f t="shared" si="10"/>
        <v>0</v>
      </c>
      <c r="G38" s="326">
        <f t="shared" si="10"/>
        <v>0</v>
      </c>
      <c r="H38" s="326">
        <f t="shared" si="10"/>
        <v>0</v>
      </c>
      <c r="I38" s="326">
        <f t="shared" si="10"/>
        <v>0</v>
      </c>
      <c r="J38" s="326">
        <f t="shared" si="10"/>
        <v>0</v>
      </c>
      <c r="K38" s="326">
        <f t="shared" si="10"/>
        <v>0</v>
      </c>
      <c r="L38" s="394">
        <f t="shared" si="10"/>
        <v>0</v>
      </c>
      <c r="M38" s="340">
        <f>SUM(B38:L38)</f>
        <v>201270</v>
      </c>
      <c r="N38" s="373"/>
      <c r="O38" s="373" t="s">
        <v>523</v>
      </c>
      <c r="P38" s="522"/>
      <c r="Q38" s="522"/>
      <c r="R38" s="522"/>
      <c r="S38" s="350" t="s">
        <v>2</v>
      </c>
      <c r="T38" s="351">
        <v>91999908</v>
      </c>
      <c r="U38" s="352" t="s">
        <v>505</v>
      </c>
      <c r="V38" s="352" t="s">
        <v>506</v>
      </c>
      <c r="W38" s="353">
        <v>7070</v>
      </c>
      <c r="X38" s="354">
        <v>200</v>
      </c>
      <c r="Y38" s="438" t="s">
        <v>539</v>
      </c>
      <c r="Z38" s="439"/>
    </row>
    <row r="39" spans="1:28">
      <c r="A39" s="452" t="s">
        <v>1150</v>
      </c>
      <c r="B39" s="431"/>
      <c r="C39" s="431"/>
      <c r="D39" s="431">
        <f>ROUND(2369796/365*D20,0)-'UAT11-Nov'!E40</f>
        <v>-168808</v>
      </c>
      <c r="E39" s="431"/>
      <c r="F39" s="431"/>
      <c r="G39" s="431"/>
      <c r="H39" s="431"/>
      <c r="I39" s="431"/>
      <c r="J39" s="431"/>
      <c r="K39" s="431"/>
      <c r="L39" s="493"/>
      <c r="M39" s="486"/>
      <c r="N39" s="437"/>
      <c r="O39" s="437" t="s">
        <v>523</v>
      </c>
      <c r="P39" s="437"/>
      <c r="Q39" s="437"/>
      <c r="R39" s="437"/>
      <c r="S39" s="350" t="s">
        <v>2</v>
      </c>
      <c r="T39" s="351">
        <v>91999901</v>
      </c>
      <c r="U39" s="352" t="s">
        <v>505</v>
      </c>
      <c r="V39" s="352" t="s">
        <v>506</v>
      </c>
      <c r="W39" s="353">
        <v>9140</v>
      </c>
      <c r="X39" s="354"/>
      <c r="Y39" s="438">
        <v>0.76</v>
      </c>
      <c r="Z39" s="439"/>
    </row>
    <row r="40" spans="1:28">
      <c r="A40" s="405"/>
      <c r="B40" s="325"/>
      <c r="C40" s="326"/>
      <c r="D40" s="334"/>
      <c r="E40" s="362"/>
      <c r="F40" s="362"/>
      <c r="G40" s="362"/>
      <c r="H40" s="362"/>
      <c r="I40" s="334"/>
      <c r="J40" s="334"/>
      <c r="K40" s="334"/>
      <c r="L40" s="397"/>
      <c r="M40" s="349"/>
      <c r="N40" s="373"/>
      <c r="O40" s="522"/>
      <c r="P40" s="522"/>
      <c r="Q40" s="522"/>
      <c r="R40" s="522"/>
      <c r="S40" s="350" t="s">
        <v>2</v>
      </c>
      <c r="T40" s="351">
        <v>91999907</v>
      </c>
      <c r="U40" s="352" t="s">
        <v>505</v>
      </c>
      <c r="V40" s="352" t="s">
        <v>506</v>
      </c>
      <c r="W40" s="353">
        <v>9140</v>
      </c>
      <c r="X40" s="354"/>
      <c r="Y40" s="438">
        <v>0.56000000000000005</v>
      </c>
      <c r="Z40" s="439"/>
    </row>
    <row r="41" spans="1:28">
      <c r="A41" s="441" t="s">
        <v>61</v>
      </c>
      <c r="B41" s="359">
        <f t="shared" ref="B41:L41" si="11">SUM(B28:B34)</f>
        <v>9100000</v>
      </c>
      <c r="C41" s="360">
        <f t="shared" si="11"/>
        <v>14450000</v>
      </c>
      <c r="D41" s="360">
        <f t="shared" si="11"/>
        <v>-3666667</v>
      </c>
      <c r="E41" s="360">
        <f t="shared" si="11"/>
        <v>16000000</v>
      </c>
      <c r="F41" s="360">
        <f t="shared" si="11"/>
        <v>29006250</v>
      </c>
      <c r="G41" s="360">
        <f t="shared" si="11"/>
        <v>90499500</v>
      </c>
      <c r="H41" s="360">
        <f t="shared" si="11"/>
        <v>71500000</v>
      </c>
      <c r="I41" s="360">
        <f t="shared" si="11"/>
        <v>13000000</v>
      </c>
      <c r="J41" s="360">
        <f t="shared" si="11"/>
        <v>11500000</v>
      </c>
      <c r="K41" s="360">
        <f t="shared" si="11"/>
        <v>12115400</v>
      </c>
      <c r="L41" s="481">
        <f t="shared" si="11"/>
        <v>4500000</v>
      </c>
      <c r="M41" s="349">
        <f>SUM(B41:L41)</f>
        <v>268004483</v>
      </c>
      <c r="N41" s="522"/>
      <c r="O41" s="373"/>
      <c r="P41" s="373"/>
      <c r="Q41" s="373"/>
      <c r="R41" s="373"/>
      <c r="S41" s="350" t="s">
        <v>747</v>
      </c>
      <c r="T41" s="351">
        <v>91999905</v>
      </c>
      <c r="U41" s="352" t="s">
        <v>505</v>
      </c>
      <c r="V41" s="352" t="s">
        <v>506</v>
      </c>
      <c r="W41" s="353" t="s">
        <v>641</v>
      </c>
      <c r="X41" s="354"/>
      <c r="Y41" s="438">
        <v>1</v>
      </c>
      <c r="Z41" s="439"/>
    </row>
    <row r="42" spans="1:28">
      <c r="A42" s="411"/>
      <c r="B42" s="325"/>
      <c r="C42" s="326"/>
      <c r="D42" s="334"/>
      <c r="E42" s="326"/>
      <c r="F42" s="326"/>
      <c r="G42" s="326"/>
      <c r="H42" s="326"/>
      <c r="I42" s="334"/>
      <c r="J42" s="334"/>
      <c r="K42" s="334"/>
      <c r="L42" s="395"/>
      <c r="M42" s="349"/>
      <c r="N42" s="373"/>
      <c r="O42" s="373"/>
      <c r="P42" s="373"/>
      <c r="Q42" s="373"/>
      <c r="R42" s="373"/>
      <c r="S42" s="42"/>
      <c r="T42" s="43"/>
      <c r="U42" s="13"/>
      <c r="V42" s="13"/>
      <c r="W42" s="61"/>
      <c r="X42" s="356"/>
      <c r="Y42" s="13"/>
      <c r="Z42" s="18"/>
    </row>
    <row r="43" spans="1:28" ht="15.6">
      <c r="A43" s="412" t="s">
        <v>60</v>
      </c>
      <c r="B43" s="363"/>
      <c r="C43" s="356"/>
      <c r="D43" s="364"/>
      <c r="E43" s="356"/>
      <c r="F43" s="356"/>
      <c r="G43" s="356"/>
      <c r="H43" s="356"/>
      <c r="I43" s="364"/>
      <c r="J43" s="364"/>
      <c r="K43" s="364"/>
      <c r="L43" s="377"/>
      <c r="M43" s="349"/>
      <c r="N43" s="373"/>
      <c r="O43" s="373"/>
      <c r="P43" s="373"/>
      <c r="Q43" s="373"/>
      <c r="R43" s="373"/>
      <c r="S43" s="42"/>
      <c r="T43" s="43"/>
      <c r="U43" s="13"/>
      <c r="V43" s="13"/>
      <c r="W43" s="61"/>
      <c r="X43" s="356"/>
      <c r="Y43" s="13"/>
      <c r="Z43" s="18"/>
    </row>
    <row r="44" spans="1:28">
      <c r="A44" s="407" t="s">
        <v>55</v>
      </c>
      <c r="B44" s="363"/>
      <c r="C44" s="356"/>
      <c r="D44" s="364"/>
      <c r="E44" s="356"/>
      <c r="F44" s="356"/>
      <c r="G44" s="356"/>
      <c r="H44" s="356"/>
      <c r="I44" s="364"/>
      <c r="J44" s="364"/>
      <c r="K44" s="364"/>
      <c r="L44" s="377"/>
      <c r="M44" s="349"/>
      <c r="N44" s="373"/>
      <c r="O44" s="373"/>
      <c r="P44" s="373"/>
      <c r="Q44" s="373"/>
      <c r="R44" s="373"/>
      <c r="S44" s="42"/>
      <c r="T44" s="43"/>
      <c r="U44" s="13"/>
      <c r="V44" s="13"/>
      <c r="W44" s="61"/>
      <c r="X44" s="356"/>
      <c r="Y44" s="13"/>
      <c r="Z44" s="18"/>
    </row>
    <row r="45" spans="1:28">
      <c r="A45" s="417" t="s">
        <v>573</v>
      </c>
      <c r="B45" s="326">
        <f>ROUND(MIN(B$99,29800000)*'New Hire'!C54,0)</f>
        <v>728000</v>
      </c>
      <c r="C45" s="326">
        <f>ROUND(MIN(C$99,29800000)*'New Hire'!E54,0)</f>
        <v>0</v>
      </c>
      <c r="D45" s="326">
        <f>ROUND(MIN(D$99,29800000)*'New Hire'!F54,0)</f>
        <v>0</v>
      </c>
      <c r="E45" s="326">
        <f>ROUND(MIN(E$99,29800000)*'New Hire'!G54,0)</f>
        <v>0</v>
      </c>
      <c r="F45" s="326">
        <f>ROUND(MIN(F$99,29800000)*'New Hire'!H54,0)</f>
        <v>0</v>
      </c>
      <c r="G45" s="326">
        <f>ROUND(MIN(G$99,29800000)*'New Hire'!J54,0)</f>
        <v>0</v>
      </c>
      <c r="H45" s="326">
        <f>ROUND(MIN(H$99,29800000)*'New Hire'!K54,0)</f>
        <v>2384000</v>
      </c>
      <c r="I45" s="326">
        <f>ROUND(MIN(I$99,29800000)*'New Hire'!L54,0)</f>
        <v>0</v>
      </c>
      <c r="J45" s="326">
        <f>ROUND(MIN(J$99,29800000)*'New Hire'!M54,0)</f>
        <v>0</v>
      </c>
      <c r="K45" s="326">
        <f>ROUND(MIN(K$99,29800000)*'New Hire'!N54,0)</f>
        <v>0</v>
      </c>
      <c r="L45" s="394">
        <f>ROUND(MIN(L$99,83600000)*'New Hire'!P54,0)</f>
        <v>0</v>
      </c>
      <c r="M45" s="349">
        <f t="shared" ref="M45:M52" si="12">SUM(B45:L45)</f>
        <v>3112000</v>
      </c>
      <c r="N45" s="373"/>
      <c r="O45" s="373"/>
      <c r="P45" s="373"/>
      <c r="Q45" s="373"/>
      <c r="R45" s="373"/>
      <c r="S45" s="24" t="s">
        <v>57</v>
      </c>
      <c r="T45" s="37" t="s">
        <v>67</v>
      </c>
      <c r="U45" s="37" t="s">
        <v>69</v>
      </c>
      <c r="V45" s="37" t="s">
        <v>70</v>
      </c>
      <c r="W45" s="62" t="s">
        <v>424</v>
      </c>
      <c r="X45" s="357" t="s">
        <v>425</v>
      </c>
      <c r="Y45" s="37" t="s">
        <v>56</v>
      </c>
      <c r="Z45" s="38"/>
      <c r="AA45" s="287"/>
      <c r="AB45" s="287"/>
    </row>
    <row r="46" spans="1:28">
      <c r="A46" s="436" t="s">
        <v>574</v>
      </c>
      <c r="B46" s="326">
        <f>ROUND(MIN(B$99,83600000)*'New Hire'!C57,0)</f>
        <v>91000</v>
      </c>
      <c r="C46" s="326">
        <f>ROUND(MIN(C$99,83600000)*'New Hire'!E57,0)</f>
        <v>144500</v>
      </c>
      <c r="D46" s="326">
        <f>ROUND(MIN(D$99,83600000)*'New Hire'!F57,0)</f>
        <v>0</v>
      </c>
      <c r="E46" s="326">
        <f>ROUND(MIN(E$99,83600000)*'New Hire'!G57,0)</f>
        <v>0</v>
      </c>
      <c r="F46" s="326">
        <f>ROUND(MIN(F$99,83600000)*'New Hire'!H57,0)</f>
        <v>0</v>
      </c>
      <c r="G46" s="326">
        <f>ROUND(MIN(G$99,83600000)*'New Hire'!J57,0)</f>
        <v>0</v>
      </c>
      <c r="H46" s="326">
        <f>ROUND(MIN(H$99,83600000)*'New Hire'!K57,0)</f>
        <v>715000</v>
      </c>
      <c r="I46" s="326">
        <f>ROUND(MIN(I$99,83600000)*'New Hire'!L57,0)</f>
        <v>0</v>
      </c>
      <c r="J46" s="326">
        <f>ROUND(MIN(J$99,83600000)*'New Hire'!M57,0)</f>
        <v>0</v>
      </c>
      <c r="K46" s="326">
        <f>ROUND(MIN(K$99,83600000)*'New Hire'!N57,0)</f>
        <v>0</v>
      </c>
      <c r="L46" s="394">
        <f>ROUND(MIN(L$99,83600000)*'New Hire'!P57,0)</f>
        <v>0</v>
      </c>
      <c r="M46" s="349">
        <f t="shared" si="12"/>
        <v>950500</v>
      </c>
      <c r="N46" s="373"/>
      <c r="O46" s="373"/>
      <c r="P46" s="373"/>
      <c r="Q46" s="373"/>
      <c r="R46" s="373"/>
      <c r="S46" s="505" t="s">
        <v>423</v>
      </c>
      <c r="T46" s="506">
        <v>91999906</v>
      </c>
      <c r="U46" s="507" t="s">
        <v>1174</v>
      </c>
      <c r="V46" s="507" t="s">
        <v>1174</v>
      </c>
      <c r="W46" s="286">
        <v>0.375</v>
      </c>
      <c r="X46" s="286">
        <v>0.47916666666666669</v>
      </c>
      <c r="Y46" s="284">
        <v>9180</v>
      </c>
      <c r="Z46" s="467">
        <v>2.5</v>
      </c>
      <c r="AA46" s="287"/>
      <c r="AB46" s="287"/>
    </row>
    <row r="47" spans="1:28">
      <c r="A47" s="436" t="s">
        <v>575</v>
      </c>
      <c r="B47" s="326">
        <f>ROUND(MIN(B$99,29800000)*'New Hire'!C60,0)</f>
        <v>136500</v>
      </c>
      <c r="C47" s="326">
        <f>ROUND(MIN(C$99,29800000)*'New Hire'!E60,0)</f>
        <v>216750</v>
      </c>
      <c r="D47" s="326">
        <f>ROUND(MIN(D$99,29800000)*'New Hire'!F60,0)</f>
        <v>0</v>
      </c>
      <c r="E47" s="326">
        <f>ROUND(MIN(E$99,29800000)*'New Hire'!G60,0)</f>
        <v>0</v>
      </c>
      <c r="F47" s="326">
        <f>ROUND(MIN(F$99,29800000)*'New Hire'!H60,0)</f>
        <v>0</v>
      </c>
      <c r="G47" s="326">
        <f>ROUND(MIN(G$99,29800000)*'New Hire'!J60,0)</f>
        <v>447000</v>
      </c>
      <c r="H47" s="326">
        <f>ROUND(MIN(H$99,29800000)*'New Hire'!K60,0)</f>
        <v>447000</v>
      </c>
      <c r="I47" s="326">
        <f>ROUND(MIN(I$99,29800000)*'New Hire'!L60,0)</f>
        <v>0</v>
      </c>
      <c r="J47" s="326">
        <f>ROUND(MIN(J$99,29800000)*'New Hire'!M60,0)</f>
        <v>0</v>
      </c>
      <c r="K47" s="326">
        <f>ROUND(MIN(K$99,29800000)*'New Hire'!N60,0)</f>
        <v>0</v>
      </c>
      <c r="L47" s="394">
        <f>ROUND(MIN(L$99,83600000)*'New Hire'!P60,0)</f>
        <v>0</v>
      </c>
      <c r="M47" s="349">
        <f t="shared" si="12"/>
        <v>1247250</v>
      </c>
      <c r="N47" s="373"/>
      <c r="O47" s="373"/>
      <c r="P47" s="373"/>
      <c r="Q47" s="373"/>
      <c r="R47" s="373"/>
      <c r="S47" s="505" t="s">
        <v>422</v>
      </c>
      <c r="T47" s="506">
        <v>91999906</v>
      </c>
      <c r="U47" s="507" t="s">
        <v>1175</v>
      </c>
      <c r="V47" s="507" t="s">
        <v>1175</v>
      </c>
      <c r="W47" s="286">
        <v>0.375</v>
      </c>
      <c r="X47" s="286">
        <v>0.47916666666666669</v>
      </c>
      <c r="Y47" s="284">
        <v>9180</v>
      </c>
      <c r="Z47" s="467">
        <v>2.5</v>
      </c>
      <c r="AA47" s="287"/>
      <c r="AB47" s="287"/>
    </row>
    <row r="48" spans="1:28">
      <c r="A48" s="405" t="s">
        <v>111</v>
      </c>
      <c r="B48" s="325">
        <f t="shared" ref="B48:L48" si="13">B106</f>
        <v>0</v>
      </c>
      <c r="C48" s="326">
        <f t="shared" si="13"/>
        <v>258875</v>
      </c>
      <c r="D48" s="326">
        <f t="shared" si="13"/>
        <v>0</v>
      </c>
      <c r="E48" s="326">
        <f t="shared" si="13"/>
        <v>1667945</v>
      </c>
      <c r="F48" s="326">
        <f t="shared" si="13"/>
        <v>2351250</v>
      </c>
      <c r="G48" s="326">
        <f t="shared" si="13"/>
        <v>18099900</v>
      </c>
      <c r="H48" s="326">
        <f t="shared" si="13"/>
        <v>11836200</v>
      </c>
      <c r="I48" s="326">
        <f t="shared" si="13"/>
        <v>200000</v>
      </c>
      <c r="J48" s="326">
        <f t="shared" si="13"/>
        <v>2300000</v>
      </c>
      <c r="K48" s="326">
        <f t="shared" si="13"/>
        <v>115385</v>
      </c>
      <c r="L48" s="394">
        <f t="shared" si="13"/>
        <v>450000</v>
      </c>
      <c r="M48" s="349">
        <f t="shared" si="12"/>
        <v>37279555</v>
      </c>
      <c r="N48" s="373"/>
      <c r="O48" s="373"/>
      <c r="P48" s="373"/>
      <c r="Q48" s="373"/>
      <c r="R48" s="373"/>
      <c r="S48" s="505" t="s">
        <v>422</v>
      </c>
      <c r="T48" s="506">
        <v>91999914</v>
      </c>
      <c r="U48" s="507" t="s">
        <v>1176</v>
      </c>
      <c r="V48" s="507" t="s">
        <v>1176</v>
      </c>
      <c r="W48" s="286">
        <v>0.375</v>
      </c>
      <c r="X48" s="286">
        <v>0.47916666666666669</v>
      </c>
      <c r="Y48" s="284">
        <v>9180</v>
      </c>
      <c r="Z48" s="467">
        <v>2.5</v>
      </c>
      <c r="AA48" s="287"/>
      <c r="AB48" s="287"/>
    </row>
    <row r="49" spans="1:28">
      <c r="A49" s="488" t="s">
        <v>1158</v>
      </c>
      <c r="B49" s="431"/>
      <c r="C49" s="431"/>
      <c r="D49" s="431"/>
      <c r="E49" s="431"/>
      <c r="F49" s="431"/>
      <c r="G49" s="431"/>
      <c r="H49" s="431"/>
      <c r="I49" s="431"/>
      <c r="J49" s="431">
        <f>J107</f>
        <v>19416732</v>
      </c>
      <c r="K49" s="431"/>
      <c r="L49" s="493"/>
      <c r="M49" s="453">
        <f t="shared" si="12"/>
        <v>19416732</v>
      </c>
      <c r="N49" s="326"/>
      <c r="O49" s="326"/>
      <c r="P49" s="335"/>
      <c r="Q49" s="373"/>
      <c r="R49" s="373"/>
      <c r="S49" s="505" t="s">
        <v>422</v>
      </c>
      <c r="T49" s="506">
        <v>91999914</v>
      </c>
      <c r="U49" s="507" t="s">
        <v>1177</v>
      </c>
      <c r="V49" s="507" t="s">
        <v>1177</v>
      </c>
      <c r="W49" s="286">
        <v>0.375</v>
      </c>
      <c r="X49" s="286">
        <v>0.47916666666666669</v>
      </c>
      <c r="Y49" s="284">
        <v>9180</v>
      </c>
      <c r="Z49" s="467">
        <v>2.5</v>
      </c>
      <c r="AA49" s="287"/>
      <c r="AB49" s="287"/>
    </row>
    <row r="50" spans="1:28">
      <c r="A50" s="436" t="s">
        <v>512</v>
      </c>
      <c r="B50" s="326">
        <f t="shared" ref="B50:L50" si="14">B90-B36</f>
        <v>0</v>
      </c>
      <c r="C50" s="326">
        <f t="shared" si="14"/>
        <v>0</v>
      </c>
      <c r="D50" s="326">
        <f t="shared" si="14"/>
        <v>0</v>
      </c>
      <c r="E50" s="326">
        <f t="shared" si="14"/>
        <v>0</v>
      </c>
      <c r="F50" s="326">
        <f t="shared" si="14"/>
        <v>0</v>
      </c>
      <c r="G50" s="326">
        <f t="shared" si="14"/>
        <v>0</v>
      </c>
      <c r="H50" s="326">
        <f t="shared" si="14"/>
        <v>0</v>
      </c>
      <c r="I50" s="326">
        <f t="shared" si="14"/>
        <v>0</v>
      </c>
      <c r="J50" s="326">
        <f t="shared" si="14"/>
        <v>0</v>
      </c>
      <c r="K50" s="326">
        <f t="shared" si="14"/>
        <v>0</v>
      </c>
      <c r="L50" s="326">
        <f t="shared" si="14"/>
        <v>0</v>
      </c>
      <c r="M50" s="349">
        <f t="shared" si="12"/>
        <v>0</v>
      </c>
      <c r="N50" s="373"/>
      <c r="O50" s="373"/>
      <c r="P50" s="373"/>
      <c r="Q50" s="373"/>
      <c r="R50" s="373"/>
      <c r="S50" s="496" t="s">
        <v>422</v>
      </c>
      <c r="T50" s="500">
        <v>91999912</v>
      </c>
      <c r="U50" s="435" t="s">
        <v>868</v>
      </c>
      <c r="V50" s="435" t="s">
        <v>868</v>
      </c>
      <c r="W50" s="497">
        <v>0.33333333333333331</v>
      </c>
      <c r="X50" s="497">
        <v>0.70833333333333337</v>
      </c>
      <c r="Y50" s="498">
        <v>9000</v>
      </c>
      <c r="Z50" s="499">
        <v>9</v>
      </c>
      <c r="AA50" s="287">
        <v>9</v>
      </c>
      <c r="AB50" s="287"/>
    </row>
    <row r="51" spans="1:28">
      <c r="A51" s="436" t="s">
        <v>533</v>
      </c>
      <c r="B51" s="326">
        <f t="shared" ref="B51:L51" si="15">B38</f>
        <v>201270</v>
      </c>
      <c r="C51" s="326">
        <f t="shared" si="15"/>
        <v>0</v>
      </c>
      <c r="D51" s="326">
        <f t="shared" si="15"/>
        <v>0</v>
      </c>
      <c r="E51" s="326">
        <f t="shared" si="15"/>
        <v>0</v>
      </c>
      <c r="F51" s="326">
        <f t="shared" si="15"/>
        <v>0</v>
      </c>
      <c r="G51" s="326">
        <f t="shared" si="15"/>
        <v>0</v>
      </c>
      <c r="H51" s="326">
        <f t="shared" si="15"/>
        <v>0</v>
      </c>
      <c r="I51" s="326">
        <f t="shared" si="15"/>
        <v>0</v>
      </c>
      <c r="J51" s="326">
        <f t="shared" si="15"/>
        <v>0</v>
      </c>
      <c r="K51" s="326">
        <f t="shared" si="15"/>
        <v>0</v>
      </c>
      <c r="L51" s="326">
        <f t="shared" si="15"/>
        <v>0</v>
      </c>
      <c r="M51" s="340">
        <f t="shared" si="12"/>
        <v>201270</v>
      </c>
      <c r="N51" s="373"/>
      <c r="O51" s="373"/>
      <c r="P51" s="373"/>
      <c r="Q51" s="373"/>
      <c r="R51" s="373"/>
      <c r="S51" s="496" t="s">
        <v>422</v>
      </c>
      <c r="T51" s="500">
        <v>91999912</v>
      </c>
      <c r="U51" s="435" t="s">
        <v>869</v>
      </c>
      <c r="V51" s="435" t="s">
        <v>869</v>
      </c>
      <c r="W51" s="497">
        <v>0.33333333333333331</v>
      </c>
      <c r="X51" s="497">
        <v>0.70833333333333337</v>
      </c>
      <c r="Y51" s="498">
        <v>9000</v>
      </c>
      <c r="Z51" s="499">
        <v>9</v>
      </c>
      <c r="AA51" s="287">
        <v>9</v>
      </c>
      <c r="AB51" s="287"/>
    </row>
    <row r="52" spans="1:28">
      <c r="A52" s="436" t="s">
        <v>536</v>
      </c>
      <c r="B52" s="326">
        <f>B92</f>
        <v>594521</v>
      </c>
      <c r="C52" s="326">
        <f t="shared" ref="C52:L52" si="16">C92</f>
        <v>0</v>
      </c>
      <c r="D52" s="326">
        <f t="shared" si="16"/>
        <v>0</v>
      </c>
      <c r="E52" s="326">
        <f t="shared" si="16"/>
        <v>594521</v>
      </c>
      <c r="F52" s="326">
        <f t="shared" si="16"/>
        <v>0</v>
      </c>
      <c r="G52" s="326">
        <f t="shared" si="16"/>
        <v>0</v>
      </c>
      <c r="H52" s="326">
        <f t="shared" si="16"/>
        <v>0</v>
      </c>
      <c r="I52" s="326">
        <f t="shared" si="16"/>
        <v>0</v>
      </c>
      <c r="J52" s="326">
        <f t="shared" si="16"/>
        <v>0</v>
      </c>
      <c r="K52" s="326">
        <f t="shared" si="16"/>
        <v>0</v>
      </c>
      <c r="L52" s="326">
        <f t="shared" si="16"/>
        <v>0</v>
      </c>
      <c r="M52" s="349">
        <f t="shared" si="12"/>
        <v>1189042</v>
      </c>
      <c r="N52" s="373"/>
      <c r="O52" s="373"/>
      <c r="P52" s="341"/>
      <c r="Q52" s="341"/>
      <c r="R52" s="341"/>
      <c r="S52" s="496" t="s">
        <v>422</v>
      </c>
      <c r="T52" s="500">
        <v>91999912</v>
      </c>
      <c r="U52" s="435" t="s">
        <v>870</v>
      </c>
      <c r="V52" s="435" t="s">
        <v>870</v>
      </c>
      <c r="W52" s="497">
        <v>0.33333333333333331</v>
      </c>
      <c r="X52" s="497">
        <v>0.70833333333333337</v>
      </c>
      <c r="Y52" s="498">
        <v>9000</v>
      </c>
      <c r="Z52" s="499">
        <v>9</v>
      </c>
      <c r="AA52" s="287">
        <v>2</v>
      </c>
      <c r="AB52" s="287"/>
    </row>
    <row r="53" spans="1:28">
      <c r="A53" s="405"/>
      <c r="B53" s="365"/>
      <c r="C53" s="366"/>
      <c r="D53" s="367"/>
      <c r="E53" s="366"/>
      <c r="F53" s="366"/>
      <c r="G53" s="366"/>
      <c r="H53" s="366"/>
      <c r="I53" s="367"/>
      <c r="J53" s="367"/>
      <c r="K53" s="367"/>
      <c r="L53" s="397"/>
      <c r="M53" s="349"/>
      <c r="N53" s="373"/>
      <c r="O53" s="373"/>
      <c r="P53" s="373"/>
      <c r="Q53" s="373"/>
      <c r="R53" s="373"/>
      <c r="S53" s="496" t="s">
        <v>874</v>
      </c>
      <c r="T53" s="500">
        <v>91999905</v>
      </c>
      <c r="U53" s="571">
        <v>43770</v>
      </c>
      <c r="V53" s="571">
        <v>43799</v>
      </c>
      <c r="W53" s="497"/>
      <c r="X53" s="497"/>
      <c r="Y53" s="498">
        <v>1000</v>
      </c>
      <c r="Z53" s="499">
        <f>NETWORKDAYS(U53,V53)</f>
        <v>21</v>
      </c>
      <c r="AB53" s="287"/>
    </row>
    <row r="54" spans="1:28">
      <c r="A54" s="413" t="s">
        <v>4</v>
      </c>
      <c r="B54" s="359">
        <f t="shared" ref="B54:L54" si="17">SUM(B45:B53)</f>
        <v>1751291</v>
      </c>
      <c r="C54" s="360">
        <f t="shared" si="17"/>
        <v>620125</v>
      </c>
      <c r="D54" s="360">
        <f t="shared" si="17"/>
        <v>0</v>
      </c>
      <c r="E54" s="360">
        <f t="shared" si="17"/>
        <v>2262466</v>
      </c>
      <c r="F54" s="360">
        <f t="shared" si="17"/>
        <v>2351250</v>
      </c>
      <c r="G54" s="360">
        <f t="shared" si="17"/>
        <v>18546900</v>
      </c>
      <c r="H54" s="360">
        <f t="shared" si="17"/>
        <v>15382200</v>
      </c>
      <c r="I54" s="360">
        <f t="shared" si="17"/>
        <v>200000</v>
      </c>
      <c r="J54" s="360">
        <f t="shared" si="17"/>
        <v>21716732</v>
      </c>
      <c r="K54" s="360">
        <f t="shared" si="17"/>
        <v>115385</v>
      </c>
      <c r="L54" s="605">
        <f t="shared" si="17"/>
        <v>450000</v>
      </c>
      <c r="M54" s="349">
        <f>SUM(B54:L54)</f>
        <v>63396349</v>
      </c>
      <c r="N54" s="373"/>
      <c r="O54" s="373"/>
      <c r="P54" s="373"/>
      <c r="Q54" s="373"/>
      <c r="R54" s="373"/>
      <c r="S54" s="33"/>
      <c r="T54" s="45"/>
      <c r="U54" s="13"/>
      <c r="V54" s="13"/>
      <c r="W54" s="13"/>
      <c r="X54" s="13"/>
      <c r="Y54" s="13"/>
      <c r="Z54" s="18"/>
      <c r="AB54" s="287"/>
    </row>
    <row r="55" spans="1:28">
      <c r="A55" s="414"/>
      <c r="B55" s="325"/>
      <c r="C55" s="326"/>
      <c r="D55" s="334"/>
      <c r="E55" s="326"/>
      <c r="F55" s="326"/>
      <c r="G55" s="326"/>
      <c r="H55" s="326"/>
      <c r="I55" s="334"/>
      <c r="J55" s="334"/>
      <c r="K55" s="334"/>
      <c r="L55" s="395"/>
      <c r="M55" s="349"/>
      <c r="N55" s="373"/>
      <c r="O55" s="373"/>
      <c r="P55" s="373"/>
      <c r="Q55" s="373"/>
      <c r="R55" s="373"/>
      <c r="S55" s="33"/>
      <c r="T55" s="45"/>
      <c r="U55" s="13"/>
      <c r="V55" s="13"/>
      <c r="W55" s="13"/>
      <c r="X55" s="13"/>
      <c r="Y55" s="13"/>
      <c r="Z55" s="18"/>
      <c r="AB55" s="287"/>
    </row>
    <row r="56" spans="1:28" ht="14.4" thickBot="1">
      <c r="A56" s="441" t="s">
        <v>5</v>
      </c>
      <c r="B56" s="328">
        <f t="shared" ref="B56:L56" si="18">MAX(B41-B54,0)</f>
        <v>7348709</v>
      </c>
      <c r="C56" s="328">
        <f t="shared" si="18"/>
        <v>13829875</v>
      </c>
      <c r="D56" s="328">
        <f t="shared" si="18"/>
        <v>0</v>
      </c>
      <c r="E56" s="328">
        <f t="shared" si="18"/>
        <v>13737534</v>
      </c>
      <c r="F56" s="328">
        <f t="shared" si="18"/>
        <v>26655000</v>
      </c>
      <c r="G56" s="328">
        <f t="shared" si="18"/>
        <v>71952600</v>
      </c>
      <c r="H56" s="328">
        <f t="shared" si="18"/>
        <v>56117800</v>
      </c>
      <c r="I56" s="328">
        <f t="shared" si="18"/>
        <v>12800000</v>
      </c>
      <c r="J56" s="328">
        <f t="shared" si="18"/>
        <v>0</v>
      </c>
      <c r="K56" s="328">
        <f t="shared" si="18"/>
        <v>12000015</v>
      </c>
      <c r="L56" s="398">
        <f t="shared" si="18"/>
        <v>4050000</v>
      </c>
      <c r="M56" s="349">
        <f>SUM(B56:L56)</f>
        <v>218491533</v>
      </c>
      <c r="N56" s="341"/>
      <c r="O56" s="341"/>
      <c r="P56" s="341"/>
      <c r="Q56" s="341"/>
      <c r="R56" s="341"/>
      <c r="S56" s="32"/>
      <c r="T56" s="44"/>
      <c r="U56" s="13"/>
      <c r="V56" s="13"/>
      <c r="W56" s="13"/>
      <c r="X56" s="13"/>
      <c r="Y56" s="13"/>
      <c r="Z56" s="18"/>
      <c r="AB56" s="287"/>
    </row>
    <row r="57" spans="1:28" ht="14.4" thickTop="1">
      <c r="A57" s="441" t="s">
        <v>1151</v>
      </c>
      <c r="B57" s="326">
        <f t="shared" ref="B57:L57" si="19">MAX(B54-B41,0)</f>
        <v>0</v>
      </c>
      <c r="C57" s="326">
        <f t="shared" si="19"/>
        <v>0</v>
      </c>
      <c r="D57" s="326">
        <f t="shared" si="19"/>
        <v>3666667</v>
      </c>
      <c r="E57" s="326">
        <f t="shared" si="19"/>
        <v>0</v>
      </c>
      <c r="F57" s="326">
        <f t="shared" si="19"/>
        <v>0</v>
      </c>
      <c r="G57" s="326">
        <f t="shared" si="19"/>
        <v>0</v>
      </c>
      <c r="H57" s="326">
        <f t="shared" si="19"/>
        <v>0</v>
      </c>
      <c r="I57" s="326">
        <f t="shared" si="19"/>
        <v>0</v>
      </c>
      <c r="J57" s="326">
        <f t="shared" si="19"/>
        <v>10216732</v>
      </c>
      <c r="K57" s="326">
        <f t="shared" si="19"/>
        <v>0</v>
      </c>
      <c r="L57" s="394">
        <f t="shared" si="19"/>
        <v>0</v>
      </c>
      <c r="M57" s="349">
        <f>SUM(B57:L57)</f>
        <v>13883399</v>
      </c>
      <c r="N57" s="373"/>
      <c r="O57" s="373"/>
      <c r="P57" s="373"/>
      <c r="Q57" s="373"/>
      <c r="R57" s="373"/>
      <c r="AA57" s="287"/>
      <c r="AB57" s="287"/>
    </row>
    <row r="58" spans="1:28" ht="15.6">
      <c r="A58" s="404" t="s">
        <v>62</v>
      </c>
      <c r="B58" s="368"/>
      <c r="C58" s="399"/>
      <c r="D58" s="364"/>
      <c r="E58" s="399"/>
      <c r="F58" s="399"/>
      <c r="G58" s="399"/>
      <c r="H58" s="399"/>
      <c r="I58" s="364"/>
      <c r="J58" s="364"/>
      <c r="K58" s="364"/>
      <c r="L58" s="377"/>
      <c r="M58" s="377"/>
      <c r="N58" s="373"/>
      <c r="O58" s="373"/>
      <c r="P58" s="373"/>
      <c r="Q58" s="373"/>
      <c r="R58" s="373"/>
      <c r="AA58" s="287"/>
      <c r="AB58" s="287"/>
    </row>
    <row r="59" spans="1:28">
      <c r="A59" s="417" t="s">
        <v>570</v>
      </c>
      <c r="B59" s="326">
        <f>ROUND(MIN(B$99,29800000)*'New Hire'!C55,0)</f>
        <v>1547000</v>
      </c>
      <c r="C59" s="326">
        <f>ROUND(MIN(C$99,29800000)*'New Hire'!E55,0)</f>
        <v>72250</v>
      </c>
      <c r="D59" s="326">
        <f>ROUND(MIN(D$99,29800000)*'New Hire'!F55,0)</f>
        <v>0</v>
      </c>
      <c r="E59" s="326">
        <f>ROUND(MIN(E$99,29800000)*'New Hire'!G55,0)</f>
        <v>0</v>
      </c>
      <c r="F59" s="326">
        <f>ROUND(MIN(F$99,29800000)*'New Hire'!H55,0)</f>
        <v>0</v>
      </c>
      <c r="G59" s="326">
        <f>ROUND(MIN(G$99,29800000)*'New Hire'!J55,0)</f>
        <v>149000</v>
      </c>
      <c r="H59" s="326">
        <f>ROUND(MIN(H$99,29800000)*'New Hire'!K55,0)</f>
        <v>5066000</v>
      </c>
      <c r="I59" s="326">
        <f>ROUND(MIN(I$99,29800000)*'New Hire'!L55,0)</f>
        <v>0</v>
      </c>
      <c r="J59" s="326">
        <f>ROUND(MIN(J$99,29800000)*'New Hire'!M55,0)</f>
        <v>0</v>
      </c>
      <c r="K59" s="326">
        <f>ROUND(MIN(K$99,29800000)*'New Hire'!N55,0)</f>
        <v>0</v>
      </c>
      <c r="L59" s="394">
        <f>ROUND(MIN(L$99,29800000)*'New Hire'!P55,0)</f>
        <v>0</v>
      </c>
      <c r="M59" s="340">
        <f>SUM(B59:L59)</f>
        <v>6834250</v>
      </c>
      <c r="N59" s="373"/>
      <c r="O59" s="373"/>
      <c r="P59" s="373"/>
      <c r="Q59" s="373"/>
      <c r="R59" s="373"/>
      <c r="AA59" s="287"/>
      <c r="AB59" s="287"/>
    </row>
    <row r="60" spans="1:28">
      <c r="A60" s="436" t="s">
        <v>571</v>
      </c>
      <c r="B60" s="326">
        <f>ROUND(MIN(B$99,83600000)*'New Hire'!C58,0)</f>
        <v>91000</v>
      </c>
      <c r="C60" s="326">
        <f>ROUND(MIN(C$99,83600000)*'New Hire'!E58,0)</f>
        <v>144500</v>
      </c>
      <c r="D60" s="326">
        <f>ROUND(MIN(D$99,83600000)*'New Hire'!F58,0)</f>
        <v>0</v>
      </c>
      <c r="E60" s="326">
        <f>ROUND(MIN(E$99,83600000)*'New Hire'!G58,0)</f>
        <v>0</v>
      </c>
      <c r="F60" s="326">
        <f>ROUND(MIN(F$99,83600000)*'New Hire'!H58,0)</f>
        <v>0</v>
      </c>
      <c r="G60" s="326">
        <f>ROUND(MIN(G$99,83600000)*'New Hire'!J58,0)</f>
        <v>0</v>
      </c>
      <c r="H60" s="326">
        <f>ROUND(MIN(H$99,83600000)*'New Hire'!K58,0)</f>
        <v>715000</v>
      </c>
      <c r="I60" s="326">
        <f>ROUND(MIN(I$99,83600000)*'New Hire'!L58,0)</f>
        <v>0</v>
      </c>
      <c r="J60" s="326">
        <f>ROUND(MIN(J$99,83600000)*'New Hire'!M58,0)</f>
        <v>0</v>
      </c>
      <c r="K60" s="326">
        <f>ROUND(MIN(K$99,83600000)*'New Hire'!N58,0)</f>
        <v>0</v>
      </c>
      <c r="L60" s="394">
        <f>ROUND(MIN(L$99,83600000)*'New Hire'!P58,0)</f>
        <v>0</v>
      </c>
      <c r="M60" s="340">
        <f>SUM(B60:L60)</f>
        <v>950500</v>
      </c>
      <c r="N60" s="373"/>
      <c r="O60" s="373"/>
      <c r="P60" s="373"/>
      <c r="Q60" s="373"/>
      <c r="R60" s="373"/>
      <c r="AA60" s="287"/>
      <c r="AB60" s="287"/>
    </row>
    <row r="61" spans="1:28">
      <c r="A61" s="436" t="s">
        <v>572</v>
      </c>
      <c r="B61" s="326">
        <f>ROUND(MIN(B$99,29800000)*'New Hire'!C61,0)</f>
        <v>273000</v>
      </c>
      <c r="C61" s="326">
        <f>ROUND(MIN(C$99,29800000)*'New Hire'!E61,0)</f>
        <v>433500</v>
      </c>
      <c r="D61" s="326">
        <f>ROUND(MIN(D$99,29800000)*'New Hire'!F61,0)</f>
        <v>0</v>
      </c>
      <c r="E61" s="326">
        <f>ROUND(MIN(E$99,29800000)*'New Hire'!G61,0)</f>
        <v>0</v>
      </c>
      <c r="F61" s="326">
        <f>ROUND(MIN(F$99,29800000)*'New Hire'!H61,0)</f>
        <v>0</v>
      </c>
      <c r="G61" s="326">
        <f>ROUND(MIN(G$99,29800000)*'New Hire'!J61,0)</f>
        <v>894000</v>
      </c>
      <c r="H61" s="326">
        <f>ROUND(MIN(H$99,29800000)*'New Hire'!K61,0)</f>
        <v>894000</v>
      </c>
      <c r="I61" s="326">
        <f>ROUND(MIN(I$99,29800000)*'New Hire'!L61,0)</f>
        <v>0</v>
      </c>
      <c r="J61" s="326">
        <f>ROUND(MIN(J$99,29800000)*'New Hire'!M61,0)</f>
        <v>0</v>
      </c>
      <c r="K61" s="326">
        <f>ROUND(MIN(K$99,29800000)*'New Hire'!N61,0)</f>
        <v>0</v>
      </c>
      <c r="L61" s="394">
        <f>ROUND(MIN(L$99,29800000)*'New Hire'!P61,0)</f>
        <v>0</v>
      </c>
      <c r="M61" s="340">
        <f>SUM(B61:L61)</f>
        <v>2494500</v>
      </c>
      <c r="N61" s="373"/>
      <c r="O61" s="373"/>
      <c r="P61" s="373"/>
      <c r="Q61" s="373"/>
      <c r="R61" s="373"/>
      <c r="AA61" s="287"/>
      <c r="AB61" s="287"/>
    </row>
    <row r="62" spans="1:28">
      <c r="A62" s="436" t="s">
        <v>1071</v>
      </c>
      <c r="B62" s="326">
        <f t="shared" ref="B62:L62" si="20">ROUND(MIN(B99,29800000)*2%,0)</f>
        <v>182000</v>
      </c>
      <c r="C62" s="326">
        <f t="shared" si="20"/>
        <v>289000</v>
      </c>
      <c r="D62" s="326">
        <f t="shared" si="20"/>
        <v>0</v>
      </c>
      <c r="E62" s="326">
        <f t="shared" si="20"/>
        <v>320000</v>
      </c>
      <c r="F62" s="326">
        <f t="shared" si="20"/>
        <v>0</v>
      </c>
      <c r="G62" s="326">
        <f t="shared" si="20"/>
        <v>596000</v>
      </c>
      <c r="H62" s="326">
        <f t="shared" si="20"/>
        <v>596000</v>
      </c>
      <c r="I62" s="326">
        <f t="shared" si="20"/>
        <v>260000</v>
      </c>
      <c r="J62" s="326">
        <f t="shared" si="20"/>
        <v>0</v>
      </c>
      <c r="K62" s="326">
        <f t="shared" si="20"/>
        <v>210000</v>
      </c>
      <c r="L62" s="394">
        <f t="shared" si="20"/>
        <v>0</v>
      </c>
      <c r="M62" s="349">
        <f>SUM(B62:L62)</f>
        <v>2453000</v>
      </c>
      <c r="N62" s="373"/>
      <c r="O62" s="373"/>
      <c r="P62" s="373"/>
      <c r="Q62" s="373"/>
      <c r="R62" s="373"/>
    </row>
    <row r="63" spans="1:28">
      <c r="A63" s="405"/>
      <c r="B63" s="325"/>
      <c r="C63" s="326"/>
      <c r="D63" s="334"/>
      <c r="E63" s="326"/>
      <c r="F63" s="326"/>
      <c r="G63" s="326"/>
      <c r="H63" s="326"/>
      <c r="I63" s="334"/>
      <c r="J63" s="334"/>
      <c r="K63" s="334"/>
      <c r="L63" s="395"/>
      <c r="M63" s="340"/>
      <c r="N63" s="373"/>
      <c r="O63" s="373"/>
      <c r="P63" s="373"/>
      <c r="Q63" s="373"/>
      <c r="R63" s="373"/>
    </row>
    <row r="64" spans="1:28" ht="15.6">
      <c r="A64" s="404" t="s">
        <v>474</v>
      </c>
      <c r="B64" s="325"/>
      <c r="C64" s="326"/>
      <c r="D64" s="334"/>
      <c r="E64" s="326"/>
      <c r="F64" s="326"/>
      <c r="G64" s="326"/>
      <c r="H64" s="326"/>
      <c r="I64" s="334"/>
      <c r="J64" s="334"/>
      <c r="K64" s="334"/>
      <c r="L64" s="395"/>
      <c r="M64" s="340"/>
      <c r="N64" s="373"/>
      <c r="O64" s="373"/>
      <c r="P64" s="373"/>
      <c r="Q64" s="373"/>
      <c r="R64" s="373"/>
      <c r="AA64" s="287"/>
    </row>
    <row r="65" spans="1:28">
      <c r="A65" s="436" t="s">
        <v>475</v>
      </c>
      <c r="B65" s="326">
        <f>IF(OR(B12="1",B12="P"),ROUND(B126*B88,0),0)+'UAT11-Nov'!B66</f>
        <v>6030650</v>
      </c>
      <c r="C65" s="326">
        <f>IF(OR(C12="1",C12="P"),ROUND(C126*C88,0),0)+'UAT11-Nov'!D66</f>
        <v>0</v>
      </c>
      <c r="D65" s="326">
        <f>IF(OR(D12="1",D12="P"),ROUND(D126*D14%*(D17-D135)/261,0),0)+'UAT11-Nov'!E66</f>
        <v>885057</v>
      </c>
      <c r="E65" s="326">
        <f>IF(OR(E12="1",E12="P"),ROUND(E126*E14%*(E17-E135)/261,0),0)+'UAT11-Nov'!F66</f>
        <v>0</v>
      </c>
      <c r="F65" s="326">
        <f>IF(OR(F12="1",F12="P"),ROUND(F126*F14%*(F17-F135)/261,0),0)+'UAT11-Nov'!G66</f>
        <v>7157098</v>
      </c>
      <c r="G65" s="326">
        <f>IF(OR(G12="1",G12="P"),ROUND(G126*G14%*(G17-G135)/261,0),0)+'UAT11-Nov'!I66</f>
        <v>0</v>
      </c>
      <c r="H65" s="326">
        <f>IF(OR(H12="1",H12="P"),ROUND(H126*H14%*(H17-H135)/261,0),0)+'UAT11-Nov'!J66</f>
        <v>28464600</v>
      </c>
      <c r="I65" s="326">
        <f>IF(OR(I12="1",I12="P"),ROUND(I126*I14%*(I17-I135)/261,0),0)+'UAT11-Nov'!K66</f>
        <v>8291956</v>
      </c>
      <c r="J65" s="326">
        <f>IF(OR(J12="1",J12="P"),ROUND(J126*J14%*(J17-J135)/261,0),0)+'UAT11-Nov'!L66</f>
        <v>43323875</v>
      </c>
      <c r="K65" s="326">
        <f>IF(OR(K12="1",K12="P"),ROUND(K126*K14%*(K17-K135)/261,0),0)+'UAT11-Nov'!M66</f>
        <v>0</v>
      </c>
      <c r="L65" s="394">
        <f>IF(OR(L12="1",L12="P"),ROUND(L126*L14%*(L17-L135)/261,0),0)+'UAT11-Nov'!O66</f>
        <v>2258622</v>
      </c>
      <c r="M65" s="340">
        <f>SUM(B65:L65)</f>
        <v>96411858</v>
      </c>
      <c r="N65" s="373"/>
      <c r="O65" s="373"/>
      <c r="P65" s="373"/>
      <c r="Q65" s="373"/>
      <c r="R65" s="373"/>
      <c r="S65" s="154"/>
      <c r="AA65" s="287"/>
    </row>
    <row r="66" spans="1:28">
      <c r="A66" s="436" t="s">
        <v>482</v>
      </c>
      <c r="B66" s="584">
        <f>'UAT11-Nov'!B67</f>
        <v>0</v>
      </c>
      <c r="C66" s="584">
        <f>'UAT11-Nov'!D67</f>
        <v>0</v>
      </c>
      <c r="D66" s="584">
        <f>'UAT11-Nov'!E67</f>
        <v>0.5</v>
      </c>
      <c r="E66" s="584">
        <f>'UAT11-Nov'!F67</f>
        <v>0</v>
      </c>
      <c r="F66" s="584">
        <f>'UAT11-Nov'!G67</f>
        <v>0</v>
      </c>
      <c r="G66" s="584">
        <f>'UAT11-Nov'!I67</f>
        <v>0</v>
      </c>
      <c r="H66" s="584">
        <f>'UAT11-Nov'!J67</f>
        <v>0</v>
      </c>
      <c r="I66" s="584">
        <f>'UAT11-Nov'!K67</f>
        <v>0</v>
      </c>
      <c r="J66" s="584">
        <f>'UAT11-Nov'!L67</f>
        <v>0</v>
      </c>
      <c r="K66" s="584">
        <f>'UAT11-Nov'!M67</f>
        <v>0</v>
      </c>
      <c r="L66" s="586">
        <f>'UAT11-Nov'!O67</f>
        <v>0</v>
      </c>
      <c r="M66" s="585">
        <f>SUM(B66:L66)</f>
        <v>0.5</v>
      </c>
      <c r="N66" s="335"/>
      <c r="O66" s="335"/>
      <c r="P66" s="335"/>
      <c r="Q66" s="335"/>
      <c r="R66" s="335"/>
    </row>
    <row r="67" spans="1:28">
      <c r="A67" s="436" t="s">
        <v>581</v>
      </c>
      <c r="B67" s="326">
        <f>B100+'UAT11-Nov'!B68-'UAT6-Jun'!B119</f>
        <v>74790000</v>
      </c>
      <c r="C67" s="326">
        <f>C100+'UAT11-Nov'!D68</f>
        <v>43350000</v>
      </c>
      <c r="D67" s="326">
        <f>D100+'UAT11-Nov'!E68-'UAT6-Jun'!E119</f>
        <v>86190000</v>
      </c>
      <c r="E67" s="326">
        <f>E100+'UAT11-Nov'!F68-'UAT6-Jun'!F119</f>
        <v>99352000</v>
      </c>
      <c r="F67" s="326">
        <f>F100+'UAT11-Nov'!G68-'UAT6-Jun'!G119</f>
        <v>297024000</v>
      </c>
      <c r="G67" s="326">
        <f>G100+'UAT11-Nov'!I68-'UAT6-Jun'!I119</f>
        <v>455978250</v>
      </c>
      <c r="H67" s="326">
        <f>H100+'UAT11-Nov'!J68-'UAT6-Jun'!J119</f>
        <v>326714000</v>
      </c>
      <c r="I67" s="326">
        <f>I100+'UAT11-Nov'!K68-'UAT6-Jun'!K119</f>
        <v>98190000</v>
      </c>
      <c r="J67" s="326">
        <f>J100+'UAT11-Nov'!L68-'UAT6-Jun'!L119</f>
        <v>77690000</v>
      </c>
      <c r="K67" s="326">
        <f>K100+'UAT11-Nov'!M68-'UAT6-Jun'!M119</f>
        <v>83190000</v>
      </c>
      <c r="L67" s="394">
        <f>L100+'UAT11-Nov'!O68-'UAT6-Jun'!O119</f>
        <v>18000000</v>
      </c>
      <c r="M67" s="340">
        <f>SUM(B67:L67)</f>
        <v>1660468250</v>
      </c>
      <c r="N67" s="335"/>
      <c r="O67" s="335"/>
      <c r="P67" s="335"/>
      <c r="Q67" s="335"/>
      <c r="R67" s="335"/>
      <c r="T67" s="154"/>
      <c r="U67" s="154"/>
      <c r="V67" s="154"/>
      <c r="W67" s="154"/>
      <c r="X67" s="154"/>
      <c r="Y67" s="154"/>
      <c r="Z67" s="154"/>
    </row>
    <row r="68" spans="1:28">
      <c r="A68" s="436" t="s">
        <v>1138</v>
      </c>
      <c r="B68" s="7">
        <v>8</v>
      </c>
      <c r="C68" s="7"/>
      <c r="D68" s="7">
        <v>15</v>
      </c>
      <c r="E68" s="7"/>
      <c r="F68" s="7"/>
      <c r="G68" s="7"/>
      <c r="H68" s="7">
        <v>8</v>
      </c>
      <c r="I68" s="7"/>
      <c r="J68" s="7"/>
      <c r="K68" s="7">
        <v>200</v>
      </c>
      <c r="L68" s="12"/>
      <c r="M68" s="466">
        <f>SUM(B68:L68)</f>
        <v>231</v>
      </c>
      <c r="N68" s="335"/>
      <c r="O68" s="335"/>
      <c r="P68" s="335"/>
      <c r="Q68" s="335"/>
      <c r="R68" s="335"/>
    </row>
    <row r="69" spans="1:28">
      <c r="A69" s="405"/>
      <c r="B69" s="325"/>
      <c r="C69" s="326"/>
      <c r="D69" s="334"/>
      <c r="E69" s="326"/>
      <c r="F69" s="326"/>
      <c r="G69" s="326"/>
      <c r="H69" s="326"/>
      <c r="I69" s="334"/>
      <c r="J69" s="334"/>
      <c r="K69" s="334"/>
      <c r="L69" s="395"/>
      <c r="M69" s="340"/>
      <c r="N69" s="335"/>
      <c r="O69" s="335"/>
      <c r="P69" s="335"/>
      <c r="Q69" s="335"/>
      <c r="R69" s="335"/>
    </row>
    <row r="70" spans="1:28" ht="15.6">
      <c r="A70" s="404" t="s">
        <v>835</v>
      </c>
      <c r="B70" s="468"/>
      <c r="C70" s="468"/>
      <c r="D70" s="468"/>
      <c r="E70" s="468"/>
      <c r="F70" s="468"/>
      <c r="G70" s="468"/>
      <c r="H70" s="559"/>
      <c r="I70" s="468"/>
      <c r="J70" s="468"/>
      <c r="K70" s="468"/>
      <c r="L70" s="557"/>
      <c r="M70" s="340"/>
      <c r="N70" s="469"/>
      <c r="O70" s="469"/>
      <c r="P70" s="373"/>
      <c r="Q70" s="373"/>
      <c r="R70" s="373"/>
    </row>
    <row r="71" spans="1:28">
      <c r="A71" s="462" t="s">
        <v>831</v>
      </c>
      <c r="B71" s="334">
        <f>B82*B114</f>
        <v>3186376.5</v>
      </c>
      <c r="C71" s="334">
        <f>C82*C114</f>
        <v>0</v>
      </c>
      <c r="D71" s="334">
        <v>0</v>
      </c>
      <c r="E71" s="334">
        <f t="shared" ref="E71:L71" si="21">E82*E114</f>
        <v>5907712</v>
      </c>
      <c r="F71" s="334">
        <f t="shared" si="21"/>
        <v>296269837.5</v>
      </c>
      <c r="G71" s="334">
        <f t="shared" si="21"/>
        <v>0</v>
      </c>
      <c r="H71" s="334">
        <f t="shared" si="21"/>
        <v>13894917.32</v>
      </c>
      <c r="I71" s="334">
        <f t="shared" si="21"/>
        <v>4602667.76</v>
      </c>
      <c r="J71" s="334">
        <f t="shared" si="21"/>
        <v>5307680</v>
      </c>
      <c r="K71" s="334">
        <f t="shared" si="21"/>
        <v>3230800</v>
      </c>
      <c r="L71" s="395">
        <f t="shared" si="21"/>
        <v>35901000</v>
      </c>
      <c r="M71" s="340">
        <f>SUM(B71:L71)-H71</f>
        <v>354406073.75999999</v>
      </c>
    </row>
    <row r="72" spans="1:28">
      <c r="A72" s="462" t="s">
        <v>832</v>
      </c>
      <c r="B72" s="334">
        <f>B82*B113</f>
        <v>6050076.8499999996</v>
      </c>
      <c r="C72" s="334">
        <f>C82*C113</f>
        <v>0</v>
      </c>
      <c r="D72" s="334">
        <v>0</v>
      </c>
      <c r="E72" s="334">
        <f t="shared" ref="E72:L72" si="22">E82*E113</f>
        <v>-3692320</v>
      </c>
      <c r="F72" s="334">
        <f t="shared" si="22"/>
        <v>592539675</v>
      </c>
      <c r="G72" s="334">
        <f t="shared" si="22"/>
        <v>0</v>
      </c>
      <c r="H72" s="334">
        <f t="shared" si="22"/>
        <v>27789834.640000001</v>
      </c>
      <c r="I72" s="334">
        <f t="shared" si="22"/>
        <v>9205335.5199999996</v>
      </c>
      <c r="J72" s="334">
        <f t="shared" si="22"/>
        <v>10615360</v>
      </c>
      <c r="K72" s="334">
        <f t="shared" si="22"/>
        <v>6461600</v>
      </c>
      <c r="L72" s="395">
        <f t="shared" si="22"/>
        <v>71802000</v>
      </c>
      <c r="M72" s="340">
        <f>SUM(B72:L72)-H72</f>
        <v>692981727.37</v>
      </c>
    </row>
    <row r="73" spans="1:28">
      <c r="A73" s="462" t="s">
        <v>833</v>
      </c>
      <c r="B73" s="334"/>
      <c r="C73" s="334"/>
      <c r="D73" s="334"/>
      <c r="E73" s="334"/>
      <c r="F73" s="334"/>
      <c r="G73" s="334"/>
      <c r="H73" s="444"/>
      <c r="I73" s="334"/>
      <c r="J73" s="334"/>
      <c r="K73" s="334"/>
      <c r="L73" s="395"/>
      <c r="M73" s="340">
        <f>SUM(B73:L73)-H73</f>
        <v>0</v>
      </c>
      <c r="N73" s="335"/>
      <c r="O73" s="470"/>
      <c r="P73" s="335"/>
      <c r="Q73" s="335"/>
      <c r="R73" s="335"/>
    </row>
    <row r="74" spans="1:28">
      <c r="A74" s="462" t="s">
        <v>834</v>
      </c>
      <c r="B74" s="334">
        <f>IF(OR(B22="A",B22="B"),ROUND(B66*B126*50%,0),ROUND(B66*B126*$B$4*50%,0))</f>
        <v>0</v>
      </c>
      <c r="C74" s="334">
        <f>IF(OR(C22="A",C22="B"),ROUND(C66*C126*50%,0),ROUND(C66*C126*$B$4*50%,0))</f>
        <v>0</v>
      </c>
      <c r="D74" s="334">
        <v>0</v>
      </c>
      <c r="E74" s="334">
        <f t="shared" ref="E74:L74" si="23">IF(OR(E22="A",E22="B"),ROUND(E66*E126*50%,0),ROUND(E66*E126*$B$4*50%,0))</f>
        <v>0</v>
      </c>
      <c r="F74" s="334">
        <f t="shared" si="23"/>
        <v>0</v>
      </c>
      <c r="G74" s="334">
        <f t="shared" si="23"/>
        <v>0</v>
      </c>
      <c r="H74" s="334">
        <f t="shared" si="23"/>
        <v>0</v>
      </c>
      <c r="I74" s="334">
        <f t="shared" si="23"/>
        <v>0</v>
      </c>
      <c r="J74" s="334">
        <f t="shared" si="23"/>
        <v>0</v>
      </c>
      <c r="K74" s="334">
        <f t="shared" si="23"/>
        <v>0</v>
      </c>
      <c r="L74" s="395">
        <f t="shared" si="23"/>
        <v>0</v>
      </c>
      <c r="M74" s="340">
        <f>SUM(B74:L74)-H74</f>
        <v>0</v>
      </c>
      <c r="N74" s="341"/>
      <c r="O74" s="470"/>
      <c r="P74" s="335"/>
      <c r="Q74" s="335"/>
      <c r="R74" s="335"/>
    </row>
    <row r="75" spans="1:28">
      <c r="A75" s="462"/>
      <c r="B75" s="334"/>
      <c r="C75" s="334"/>
      <c r="D75" s="334"/>
      <c r="E75" s="334"/>
      <c r="F75" s="334"/>
      <c r="G75" s="334"/>
      <c r="H75" s="334"/>
      <c r="I75" s="334"/>
      <c r="J75" s="334"/>
      <c r="K75" s="334"/>
      <c r="L75" s="395"/>
      <c r="M75" s="340"/>
      <c r="N75" s="341"/>
      <c r="O75" s="470"/>
      <c r="P75" s="335"/>
      <c r="Q75" s="335"/>
      <c r="R75" s="335"/>
    </row>
    <row r="76" spans="1:28" ht="15.6">
      <c r="A76" s="404" t="s">
        <v>691</v>
      </c>
      <c r="B76" s="325"/>
      <c r="C76" s="326"/>
      <c r="D76" s="334"/>
      <c r="E76" s="326"/>
      <c r="F76" s="326"/>
      <c r="G76" s="326"/>
      <c r="H76" s="326"/>
      <c r="I76" s="334"/>
      <c r="J76" s="334"/>
      <c r="K76" s="334"/>
      <c r="L76" s="395"/>
      <c r="M76" s="340"/>
      <c r="N76" s="341"/>
      <c r="O76" s="470"/>
      <c r="P76" s="335"/>
      <c r="Q76" s="335"/>
      <c r="R76" s="335"/>
    </row>
    <row r="77" spans="1:28">
      <c r="A77" s="483" t="s">
        <v>1100</v>
      </c>
      <c r="B77" s="484"/>
      <c r="C77" s="484"/>
      <c r="D77" s="484"/>
      <c r="E77" s="484"/>
      <c r="F77" s="484"/>
      <c r="G77" s="484"/>
      <c r="H77" s="484"/>
      <c r="I77" s="484"/>
      <c r="J77" s="484"/>
      <c r="K77" s="484">
        <f>ROUND('UAT11-Nov'!M82*AA50*100%,0)+ROUND('UAT11-Nov'!M82*AA51*100%,0)+ROUND('UAT11-Nov'!M82*AA52*100%,0)</f>
        <v>807700</v>
      </c>
      <c r="L77" s="485"/>
      <c r="M77" s="486">
        <f>SUM(B77:L77)</f>
        <v>807700</v>
      </c>
      <c r="N77" s="501" t="s">
        <v>591</v>
      </c>
      <c r="O77" s="501" t="s">
        <v>591</v>
      </c>
      <c r="P77" s="502"/>
      <c r="Q77" s="503"/>
      <c r="R77" s="503"/>
    </row>
    <row r="78" spans="1:28" s="5" customFormat="1">
      <c r="A78" s="509" t="s">
        <v>724</v>
      </c>
      <c r="B78" s="484"/>
      <c r="C78" s="484"/>
      <c r="D78" s="484"/>
      <c r="E78" s="484"/>
      <c r="F78" s="484"/>
      <c r="G78" s="484"/>
      <c r="H78" s="484"/>
      <c r="I78" s="484"/>
      <c r="J78" s="484"/>
      <c r="K78" s="484">
        <f>ROUND('UAT11-Nov'!M82*AA50*100%,0)+ROUND('UAT11-Nov'!M82*AA51*100%,0)+ROUND('UAT11-Nov'!M82*AA52*100%,0)</f>
        <v>807700</v>
      </c>
      <c r="L78" s="485"/>
      <c r="M78" s="486">
        <f>SUM(B78:L78)</f>
        <v>807700</v>
      </c>
      <c r="N78" s="501" t="s">
        <v>591</v>
      </c>
      <c r="O78" s="501"/>
      <c r="P78" s="504"/>
      <c r="Q78" s="504"/>
      <c r="R78" s="504"/>
      <c r="AA78"/>
      <c r="AB78"/>
    </row>
    <row r="79" spans="1:28" s="5" customFormat="1">
      <c r="A79" s="509" t="s">
        <v>759</v>
      </c>
      <c r="B79" s="484"/>
      <c r="C79" s="484"/>
      <c r="D79" s="484"/>
      <c r="E79" s="484">
        <f>Z53</f>
        <v>21</v>
      </c>
      <c r="F79" s="484"/>
      <c r="G79" s="484"/>
      <c r="H79" s="484"/>
      <c r="I79" s="484"/>
      <c r="J79" s="484"/>
      <c r="K79" s="484"/>
      <c r="L79" s="485"/>
      <c r="M79" s="486"/>
      <c r="N79" s="501"/>
      <c r="O79" s="501"/>
      <c r="P79" s="504"/>
      <c r="Q79" s="504"/>
      <c r="R79" s="504"/>
      <c r="AA79"/>
      <c r="AB79"/>
    </row>
    <row r="80" spans="1:28" s="5" customFormat="1">
      <c r="A80" s="405"/>
      <c r="B80" s="325"/>
      <c r="C80" s="326"/>
      <c r="D80" s="334"/>
      <c r="E80" s="326"/>
      <c r="F80" s="326"/>
      <c r="G80" s="326"/>
      <c r="H80" s="326"/>
      <c r="I80" s="334"/>
      <c r="J80" s="334"/>
      <c r="K80" s="334"/>
      <c r="L80" s="395"/>
      <c r="M80" s="340"/>
      <c r="N80" s="516"/>
      <c r="O80" s="516"/>
      <c r="P80" s="516"/>
      <c r="Q80" s="516"/>
      <c r="R80" s="516"/>
      <c r="AA80"/>
      <c r="AB80"/>
    </row>
    <row r="81" spans="1:28" s="5" customFormat="1" ht="15.6">
      <c r="A81" s="404" t="s">
        <v>483</v>
      </c>
      <c r="B81" s="325"/>
      <c r="C81" s="326"/>
      <c r="D81" s="334"/>
      <c r="E81" s="326"/>
      <c r="F81" s="326"/>
      <c r="G81" s="326"/>
      <c r="H81" s="326"/>
      <c r="I81" s="334"/>
      <c r="J81" s="334"/>
      <c r="K81" s="334"/>
      <c r="L81" s="395"/>
      <c r="M81" s="340"/>
      <c r="N81" s="341"/>
      <c r="O81" s="374"/>
      <c r="P81" s="374"/>
      <c r="Q81" s="374"/>
      <c r="R81" s="374"/>
      <c r="AA81"/>
      <c r="AB81"/>
    </row>
    <row r="82" spans="1:28" s="5" customFormat="1">
      <c r="A82" s="436" t="s">
        <v>488</v>
      </c>
      <c r="B82" s="326">
        <f t="shared" ref="B82:I82" si="24">IF(OR(B22="A",B22="B"),IF(B12&lt;&gt;"C",ROUND(B126*12/52/40,0),B127),IF(B12&lt;&gt;"C",ROUND(B126*$B$4*12/52/40,0),B127*$B$4))</f>
        <v>40385</v>
      </c>
      <c r="C82" s="326">
        <f t="shared" si="24"/>
        <v>63462</v>
      </c>
      <c r="D82" s="326">
        <f t="shared" si="24"/>
        <v>63462</v>
      </c>
      <c r="E82" s="326">
        <f t="shared" si="24"/>
        <v>92308</v>
      </c>
      <c r="F82" s="326">
        <f t="shared" si="24"/>
        <v>5801250</v>
      </c>
      <c r="G82" s="326">
        <f t="shared" si="24"/>
        <v>562275</v>
      </c>
      <c r="H82" s="326">
        <f t="shared" si="24"/>
        <v>317308</v>
      </c>
      <c r="I82" s="326">
        <f t="shared" si="24"/>
        <v>57692</v>
      </c>
      <c r="J82" s="326">
        <f>ROUND(J126*12/52/40,0)</f>
        <v>66346</v>
      </c>
      <c r="K82" s="326">
        <f>IF(OR(K22="A",K22="B"),IF(K12&lt;&gt;"C",ROUND(K126*12/52/40,0),K127),IF(K12&lt;&gt;"C",ROUND(K126*$B$4*12/52/40,0),K127*$B$4))</f>
        <v>40385</v>
      </c>
      <c r="L82" s="394">
        <f>IF(OR(L22="A",L22="B"),IF(L12&lt;&gt;"C",ROUND(L126*12/52/40,0),L127),IF(L12&lt;&gt;"C",ROUND(L126*$B$4*12/52/40,0),L127*$B$4))</f>
        <v>900000</v>
      </c>
      <c r="M82" s="340">
        <f t="shared" ref="M82:M93" si="25">SUM(B82:L82)</f>
        <v>8004873</v>
      </c>
      <c r="N82" s="341"/>
      <c r="O82" s="341"/>
      <c r="P82" s="341"/>
      <c r="Q82" s="341"/>
      <c r="R82" s="341"/>
      <c r="AA82"/>
      <c r="AB82"/>
    </row>
    <row r="83" spans="1:28" s="5" customFormat="1">
      <c r="A83" s="436" t="s">
        <v>499</v>
      </c>
      <c r="B83" s="326">
        <f t="shared" ref="B83:I83" si="26">IF(OR(B22="A",B22="B"),ROUND(SUM(B126,B128,B129,B131)*12/52/5*B14%,0),ROUND(SUM(B126,B128,B129,B131)*12/52/5*$B$4*B14%,0))</f>
        <v>4200</v>
      </c>
      <c r="C83" s="326">
        <f t="shared" si="26"/>
        <v>6669</v>
      </c>
      <c r="D83" s="326">
        <f t="shared" si="26"/>
        <v>5077</v>
      </c>
      <c r="E83" s="326">
        <f t="shared" si="26"/>
        <v>5908</v>
      </c>
      <c r="F83" s="326">
        <f t="shared" si="26"/>
        <v>0</v>
      </c>
      <c r="G83" s="326">
        <f t="shared" si="26"/>
        <v>33737</v>
      </c>
      <c r="H83" s="326">
        <f t="shared" si="26"/>
        <v>19800</v>
      </c>
      <c r="I83" s="326">
        <f t="shared" si="26"/>
        <v>6000</v>
      </c>
      <c r="J83" s="326">
        <f>ROUND(SUM(J126,J128,J129,J131)*12/52/5*J14%,0)</f>
        <v>5308</v>
      </c>
      <c r="K83" s="326">
        <f>IF(OR(K22="A",K22="B"),ROUND(SUM(K126,K128,K129,K131)*12/52/5*K14%,0),ROUND(SUM(K126,K128,K129,K131)*12/52/5*$B$4*K14%,0))</f>
        <v>4846</v>
      </c>
      <c r="L83" s="394">
        <f>IF(OR(L22="A",L22="B"),ROUND(SUM(L126,L128,L129,L131)*12/52/5*L14%,0),ROUND(SUM(L126,L128,L129,L131)*12/52/5*$B$4*L14%,0))</f>
        <v>0</v>
      </c>
      <c r="M83" s="340">
        <f t="shared" si="25"/>
        <v>91545</v>
      </c>
      <c r="N83" s="341"/>
      <c r="O83" s="341"/>
      <c r="P83" s="341"/>
      <c r="Q83" s="341"/>
      <c r="R83" s="341"/>
      <c r="AA83"/>
      <c r="AB83"/>
    </row>
    <row r="84" spans="1:28" s="5" customFormat="1">
      <c r="A84" s="436" t="s">
        <v>500</v>
      </c>
      <c r="B84" s="326">
        <f t="shared" ref="B84:I84" si="27">IF(OR(B22="A",B22="B"),ROUND(B126/B18,0),ROUND(B126*$B$4/B18,0))</f>
        <v>318182</v>
      </c>
      <c r="C84" s="326">
        <f t="shared" si="27"/>
        <v>500000</v>
      </c>
      <c r="D84" s="326">
        <f t="shared" si="27"/>
        <v>500000</v>
      </c>
      <c r="E84" s="326">
        <f t="shared" si="27"/>
        <v>727273</v>
      </c>
      <c r="F84" s="326">
        <f t="shared" si="27"/>
        <v>0</v>
      </c>
      <c r="G84" s="326">
        <f t="shared" si="27"/>
        <v>4430045</v>
      </c>
      <c r="H84" s="326">
        <f t="shared" si="27"/>
        <v>2500000</v>
      </c>
      <c r="I84" s="326">
        <f t="shared" si="27"/>
        <v>454545</v>
      </c>
      <c r="J84" s="326">
        <f>ROUND(J126/J18,0)</f>
        <v>522727</v>
      </c>
      <c r="K84" s="326">
        <f>IF(OR(K22="A",K22="B"),ROUND(K126/K18,0),ROUND(K126*$B$4/K18,0))</f>
        <v>318182</v>
      </c>
      <c r="L84" s="394">
        <f>IF(OR(L22="A",L22="B"),ROUND(L126/L18,0),ROUND(L126*$B$4/L18,0))</f>
        <v>0</v>
      </c>
      <c r="M84" s="340">
        <f t="shared" si="25"/>
        <v>10270954</v>
      </c>
      <c r="N84" s="341"/>
      <c r="O84" s="341"/>
      <c r="P84" s="341"/>
      <c r="Q84" s="341"/>
      <c r="R84" s="341"/>
      <c r="AA84"/>
      <c r="AB84"/>
    </row>
    <row r="85" spans="1:28" s="5" customFormat="1">
      <c r="A85" s="436" t="s">
        <v>621</v>
      </c>
      <c r="B85" s="326">
        <f t="shared" ref="B85:I85" si="28">IF(OR(B22="A",B22="B"),ROUND(SUM(B128,B129,B130,B132:B134)/B18,0),ROUND(SUM(B128,B129,B130,B132:B134)*$B$4/B18,0))</f>
        <v>95455</v>
      </c>
      <c r="C85" s="326">
        <f t="shared" si="28"/>
        <v>156818</v>
      </c>
      <c r="D85" s="326">
        <f t="shared" si="28"/>
        <v>0</v>
      </c>
      <c r="E85" s="326">
        <f t="shared" si="28"/>
        <v>0</v>
      </c>
      <c r="F85" s="326">
        <f t="shared" si="28"/>
        <v>0</v>
      </c>
      <c r="G85" s="326">
        <f t="shared" si="28"/>
        <v>0</v>
      </c>
      <c r="H85" s="326">
        <f t="shared" si="28"/>
        <v>750000</v>
      </c>
      <c r="I85" s="326">
        <f t="shared" si="28"/>
        <v>136364</v>
      </c>
      <c r="J85" s="326">
        <f>ROUND(SUM(J128,J129,J130,J132:J134)/J18,0)</f>
        <v>0</v>
      </c>
      <c r="K85" s="326">
        <f>IF(OR(K22="A",K22="B"),ROUND(SUM(K128,K129,K130,K132:K134)/K18,0),ROUND(SUM(K128,K129,K130,K132:K134)*$B$4/K18,0))</f>
        <v>159091</v>
      </c>
      <c r="L85" s="394">
        <f>IF(OR(L22="A",L22="B"),ROUND(SUM(L128,L129,L130,L132:L134)/L18,0),ROUND(SUM(L128,L129,L130,L132:L134)*$B$4/L18,0))</f>
        <v>0</v>
      </c>
      <c r="M85" s="340">
        <f t="shared" si="25"/>
        <v>1297728</v>
      </c>
      <c r="N85" s="341"/>
      <c r="O85" s="341"/>
      <c r="P85" s="341"/>
      <c r="Q85" s="341"/>
      <c r="R85" s="341"/>
      <c r="AA85"/>
      <c r="AB85"/>
    </row>
    <row r="86" spans="1:28" s="5" customFormat="1">
      <c r="A86" s="436" t="s">
        <v>501</v>
      </c>
      <c r="B86" s="7">
        <f t="shared" ref="B86:L86" si="29">B15/B18*100%</f>
        <v>1</v>
      </c>
      <c r="C86" s="7">
        <f t="shared" si="29"/>
        <v>1</v>
      </c>
      <c r="D86" s="7">
        <f t="shared" si="29"/>
        <v>0</v>
      </c>
      <c r="E86" s="7">
        <f t="shared" si="29"/>
        <v>1</v>
      </c>
      <c r="F86" s="7">
        <f t="shared" si="29"/>
        <v>1</v>
      </c>
      <c r="G86" s="7">
        <f t="shared" si="29"/>
        <v>1</v>
      </c>
      <c r="H86" s="7">
        <f t="shared" si="29"/>
        <v>1</v>
      </c>
      <c r="I86" s="7">
        <f t="shared" si="29"/>
        <v>1</v>
      </c>
      <c r="J86" s="7">
        <f t="shared" si="29"/>
        <v>1</v>
      </c>
      <c r="K86" s="7">
        <f t="shared" si="29"/>
        <v>1</v>
      </c>
      <c r="L86" s="12">
        <f t="shared" si="29"/>
        <v>1</v>
      </c>
      <c r="M86" s="466">
        <f t="shared" si="25"/>
        <v>10</v>
      </c>
      <c r="N86" s="341"/>
      <c r="O86" s="341"/>
      <c r="P86" s="341"/>
      <c r="Q86" s="341"/>
      <c r="R86" s="341"/>
      <c r="AA86"/>
      <c r="AB86"/>
    </row>
    <row r="87" spans="1:28" s="5" customFormat="1">
      <c r="A87" s="452" t="s">
        <v>1146</v>
      </c>
      <c r="B87" s="435"/>
      <c r="C87" s="435"/>
      <c r="D87" s="435">
        <f>D16/'UAT11-Nov'!E17*100%</f>
        <v>0.66666666666666663</v>
      </c>
      <c r="E87" s="435"/>
      <c r="F87" s="435"/>
      <c r="G87" s="435"/>
      <c r="H87" s="435"/>
      <c r="I87" s="435"/>
      <c r="J87" s="435"/>
      <c r="K87" s="435"/>
      <c r="L87" s="435"/>
      <c r="M87" s="491">
        <f t="shared" si="25"/>
        <v>0.66666666666666663</v>
      </c>
      <c r="N87" s="341"/>
      <c r="O87" s="341"/>
      <c r="P87" s="341"/>
      <c r="Q87" s="341"/>
      <c r="R87" s="341"/>
      <c r="AA87"/>
      <c r="AB87"/>
    </row>
    <row r="88" spans="1:28" s="5" customFormat="1">
      <c r="A88" s="436" t="s">
        <v>502</v>
      </c>
      <c r="B88" s="7">
        <f t="shared" ref="B88:L88" si="30">(B15-B135)/261*100%</f>
        <v>8.4291187739463605E-2</v>
      </c>
      <c r="C88" s="7">
        <f t="shared" si="30"/>
        <v>8.4291187739463605E-2</v>
      </c>
      <c r="D88" s="7">
        <f t="shared" si="30"/>
        <v>0</v>
      </c>
      <c r="E88" s="7">
        <f t="shared" si="30"/>
        <v>8.4291187739463605E-2</v>
      </c>
      <c r="F88" s="7">
        <f t="shared" si="30"/>
        <v>8.4291187739463605E-2</v>
      </c>
      <c r="G88" s="7">
        <f t="shared" si="30"/>
        <v>8.4291187739463605E-2</v>
      </c>
      <c r="H88" s="7">
        <f t="shared" si="30"/>
        <v>8.4291187739463605E-2</v>
      </c>
      <c r="I88" s="7">
        <f t="shared" si="30"/>
        <v>8.4291187739463605E-2</v>
      </c>
      <c r="J88" s="7">
        <f t="shared" si="30"/>
        <v>8.4291187739463605E-2</v>
      </c>
      <c r="K88" s="7">
        <f t="shared" si="30"/>
        <v>8.4291187739463605E-2</v>
      </c>
      <c r="L88" s="7">
        <f t="shared" si="30"/>
        <v>8.4291187739463605E-2</v>
      </c>
      <c r="M88" s="466">
        <f t="shared" si="25"/>
        <v>0.84291187739463624</v>
      </c>
      <c r="N88" s="341"/>
      <c r="O88" s="341"/>
      <c r="P88" s="341"/>
      <c r="Q88" s="341"/>
      <c r="R88" s="341"/>
      <c r="AA88"/>
      <c r="AB88"/>
    </row>
    <row r="89" spans="1:28" s="5" customFormat="1">
      <c r="A89" s="436" t="s">
        <v>503</v>
      </c>
      <c r="B89" s="7">
        <f t="shared" ref="B89:L89" si="31">B136/B18*100%</f>
        <v>0</v>
      </c>
      <c r="C89" s="7">
        <f t="shared" si="31"/>
        <v>0</v>
      </c>
      <c r="D89" s="7">
        <f t="shared" si="31"/>
        <v>0</v>
      </c>
      <c r="E89" s="7">
        <f t="shared" si="31"/>
        <v>0</v>
      </c>
      <c r="F89" s="7">
        <f t="shared" si="31"/>
        <v>0</v>
      </c>
      <c r="G89" s="7">
        <f t="shared" si="31"/>
        <v>0</v>
      </c>
      <c r="H89" s="7">
        <f t="shared" si="31"/>
        <v>0</v>
      </c>
      <c r="I89" s="7">
        <f t="shared" si="31"/>
        <v>0</v>
      </c>
      <c r="J89" s="7">
        <f t="shared" si="31"/>
        <v>0</v>
      </c>
      <c r="K89" s="7">
        <f t="shared" si="31"/>
        <v>0</v>
      </c>
      <c r="L89" s="12">
        <f t="shared" si="31"/>
        <v>0</v>
      </c>
      <c r="M89" s="466">
        <f t="shared" si="25"/>
        <v>0</v>
      </c>
      <c r="N89" s="516"/>
      <c r="O89" s="516"/>
      <c r="P89" s="516"/>
      <c r="Q89" s="516"/>
      <c r="R89" s="516"/>
      <c r="AA89"/>
      <c r="AB89"/>
    </row>
    <row r="90" spans="1:28" s="5" customFormat="1">
      <c r="A90" s="442" t="s">
        <v>492</v>
      </c>
      <c r="B90" s="326">
        <f>ROUND(X25*B19/365,0)</f>
        <v>679452</v>
      </c>
      <c r="D90" s="326">
        <f>ROUND(X27*D19/365,0)</f>
        <v>0</v>
      </c>
      <c r="E90" s="326">
        <f>ROUND(X28*E19/365,0)</f>
        <v>679452</v>
      </c>
      <c r="F90" s="362"/>
      <c r="G90" s="326"/>
      <c r="H90" s="326"/>
      <c r="I90" s="334"/>
      <c r="J90" s="334"/>
      <c r="K90" s="334"/>
      <c r="L90" s="395"/>
      <c r="M90" s="340">
        <f t="shared" si="25"/>
        <v>1358904</v>
      </c>
      <c r="N90"/>
      <c r="O90" s="341"/>
      <c r="P90" s="341"/>
      <c r="Q90" s="341"/>
      <c r="R90" s="341"/>
      <c r="AA90"/>
      <c r="AB90"/>
    </row>
    <row r="91" spans="1:28" s="5" customFormat="1">
      <c r="A91" s="454" t="s">
        <v>1147</v>
      </c>
      <c r="B91" s="431"/>
      <c r="C91" s="609"/>
      <c r="D91" s="431">
        <f>ROUND(X27*D20/365,0)-'UAT11-Nov'!E89</f>
        <v>-241096</v>
      </c>
      <c r="E91" s="431"/>
      <c r="F91" s="431"/>
      <c r="G91" s="431"/>
      <c r="H91" s="431"/>
      <c r="I91" s="432"/>
      <c r="J91" s="432"/>
      <c r="K91" s="432"/>
      <c r="L91" s="485"/>
      <c r="M91" s="486">
        <f t="shared" si="25"/>
        <v>-241096</v>
      </c>
      <c r="N91"/>
      <c r="O91" s="341"/>
      <c r="P91" s="341"/>
      <c r="Q91" s="341"/>
      <c r="R91" s="341"/>
      <c r="AA91"/>
      <c r="AB91"/>
    </row>
    <row r="92" spans="1:28" s="5" customFormat="1">
      <c r="A92" s="436" t="s">
        <v>534</v>
      </c>
      <c r="B92" s="326">
        <f>ROUND(X30*B19/365,0)</f>
        <v>594521</v>
      </c>
      <c r="D92" s="326">
        <f>ROUND(X32*D19/365,0)</f>
        <v>0</v>
      </c>
      <c r="E92" s="326">
        <f>ROUND(X33*E19/365,0)</f>
        <v>594521</v>
      </c>
      <c r="F92" s="326"/>
      <c r="G92" s="326"/>
      <c r="H92" s="326"/>
      <c r="I92" s="326"/>
      <c r="J92" s="326"/>
      <c r="K92" s="326"/>
      <c r="L92" s="394"/>
      <c r="M92" s="340">
        <f t="shared" si="25"/>
        <v>1189042</v>
      </c>
      <c r="N92" s="373"/>
      <c r="O92" s="373"/>
      <c r="P92" s="373"/>
      <c r="Q92" s="373"/>
      <c r="R92" s="373"/>
      <c r="AA92"/>
      <c r="AB92"/>
    </row>
    <row r="93" spans="1:28" s="5" customFormat="1">
      <c r="A93" s="452" t="s">
        <v>1148</v>
      </c>
      <c r="B93" s="431"/>
      <c r="C93" s="609"/>
      <c r="D93" s="431">
        <f>ROUND(X32*D20/365,0)-'UAT11-Nov'!E90</f>
        <v>-210958</v>
      </c>
      <c r="E93" s="431"/>
      <c r="F93" s="431"/>
      <c r="G93" s="431"/>
      <c r="H93" s="431"/>
      <c r="I93" s="431"/>
      <c r="J93" s="431"/>
      <c r="K93" s="431"/>
      <c r="L93" s="493"/>
      <c r="M93" s="486">
        <f t="shared" si="25"/>
        <v>-210958</v>
      </c>
      <c r="N93" s="373"/>
      <c r="O93" s="373"/>
      <c r="P93" s="373"/>
      <c r="Q93" s="373"/>
      <c r="R93" s="373"/>
      <c r="AA93"/>
      <c r="AB93"/>
    </row>
    <row r="94" spans="1:28" s="5" customFormat="1">
      <c r="A94" s="405" t="s">
        <v>606</v>
      </c>
      <c r="B94" s="396"/>
      <c r="C94" s="326"/>
      <c r="D94" s="326"/>
      <c r="E94" s="326"/>
      <c r="F94" s="326"/>
      <c r="G94" s="326">
        <f>X36*B4</f>
        <v>2320500</v>
      </c>
      <c r="H94" s="326"/>
      <c r="I94" s="334"/>
      <c r="J94" s="334"/>
      <c r="K94" s="334"/>
      <c r="L94" s="395"/>
      <c r="M94" s="349">
        <f>SUM(C94:L94)</f>
        <v>2320500</v>
      </c>
      <c r="N94"/>
      <c r="O94"/>
      <c r="P94"/>
      <c r="Q94"/>
      <c r="R94"/>
      <c r="AA94"/>
      <c r="AB94"/>
    </row>
    <row r="95" spans="1:28" s="5" customFormat="1">
      <c r="A95" s="405" t="s">
        <v>607</v>
      </c>
      <c r="B95" s="396"/>
      <c r="C95" s="326"/>
      <c r="D95" s="326"/>
      <c r="E95" s="326"/>
      <c r="F95" s="326"/>
      <c r="G95" s="326">
        <f>X38*B4</f>
        <v>4641000</v>
      </c>
      <c r="H95" s="326"/>
      <c r="I95" s="334"/>
      <c r="J95" s="334"/>
      <c r="K95" s="334"/>
      <c r="L95" s="395"/>
      <c r="M95" s="349">
        <f>SUM(C95:L95)</f>
        <v>4641000</v>
      </c>
      <c r="N95"/>
      <c r="O95"/>
      <c r="P95"/>
      <c r="Q95"/>
      <c r="R95"/>
      <c r="AA95"/>
      <c r="AB95"/>
    </row>
    <row r="96" spans="1:28" s="5" customFormat="1">
      <c r="A96" s="405"/>
      <c r="B96" s="325"/>
      <c r="C96" s="326"/>
      <c r="D96" s="334"/>
      <c r="E96" s="326"/>
      <c r="F96" s="326"/>
      <c r="G96" s="326"/>
      <c r="H96" s="326"/>
      <c r="I96" s="334"/>
      <c r="J96" s="334"/>
      <c r="K96" s="334"/>
      <c r="L96" s="395"/>
      <c r="M96" s="340"/>
      <c r="N96"/>
      <c r="O96"/>
      <c r="P96"/>
      <c r="Q96"/>
      <c r="R96"/>
      <c r="AA96"/>
      <c r="AB96"/>
    </row>
    <row r="97" spans="1:29" s="5" customFormat="1">
      <c r="A97" s="405" t="s">
        <v>576</v>
      </c>
      <c r="B97" s="325">
        <f t="shared" ref="B97:L97" si="32">SUM(B28:B34)</f>
        <v>9100000</v>
      </c>
      <c r="C97" s="326">
        <f t="shared" si="32"/>
        <v>14450000</v>
      </c>
      <c r="D97" s="326">
        <f t="shared" si="32"/>
        <v>-3666667</v>
      </c>
      <c r="E97" s="326">
        <f t="shared" si="32"/>
        <v>16000000</v>
      </c>
      <c r="F97" s="326">
        <f t="shared" si="32"/>
        <v>29006250</v>
      </c>
      <c r="G97" s="326">
        <f t="shared" si="32"/>
        <v>90499500</v>
      </c>
      <c r="H97" s="326">
        <f t="shared" si="32"/>
        <v>71500000</v>
      </c>
      <c r="I97" s="326">
        <f t="shared" si="32"/>
        <v>13000000</v>
      </c>
      <c r="J97" s="326">
        <f t="shared" si="32"/>
        <v>11500000</v>
      </c>
      <c r="K97" s="326">
        <f t="shared" si="32"/>
        <v>12115400</v>
      </c>
      <c r="L97" s="394">
        <f t="shared" si="32"/>
        <v>4500000</v>
      </c>
      <c r="M97" s="340">
        <f t="shared" ref="M97:M110" si="33">SUM(B97:L97)</f>
        <v>268004483</v>
      </c>
      <c r="N97"/>
      <c r="O97"/>
      <c r="P97"/>
      <c r="Q97"/>
      <c r="R97"/>
      <c r="AA97"/>
      <c r="AB97"/>
    </row>
    <row r="98" spans="1:29" s="5" customFormat="1">
      <c r="A98" s="436" t="s">
        <v>577</v>
      </c>
      <c r="B98" s="326">
        <f t="shared" ref="B98:L98" si="34">SUM(B28:B32,B36,B38,B77)</f>
        <v>9980722</v>
      </c>
      <c r="C98" s="326">
        <f t="shared" si="34"/>
        <v>14450000</v>
      </c>
      <c r="D98" s="326">
        <f t="shared" si="34"/>
        <v>-3666667</v>
      </c>
      <c r="E98" s="326">
        <f t="shared" si="34"/>
        <v>16679452</v>
      </c>
      <c r="F98" s="326">
        <f t="shared" si="34"/>
        <v>29006250</v>
      </c>
      <c r="G98" s="326">
        <f t="shared" si="34"/>
        <v>90499500</v>
      </c>
      <c r="H98" s="326">
        <f t="shared" si="34"/>
        <v>71500000</v>
      </c>
      <c r="I98" s="326">
        <f t="shared" si="34"/>
        <v>13000000</v>
      </c>
      <c r="J98" s="326">
        <f t="shared" si="34"/>
        <v>11500000</v>
      </c>
      <c r="K98" s="326">
        <f t="shared" si="34"/>
        <v>11307700</v>
      </c>
      <c r="L98" s="326">
        <f t="shared" si="34"/>
        <v>4500000</v>
      </c>
      <c r="M98" s="340">
        <f t="shared" si="33"/>
        <v>268756957</v>
      </c>
      <c r="N98"/>
      <c r="O98"/>
      <c r="P98"/>
      <c r="Q98"/>
      <c r="R98"/>
      <c r="AA98" s="287"/>
      <c r="AB98"/>
    </row>
    <row r="99" spans="1:29" s="5" customFormat="1">
      <c r="A99" s="436" t="s">
        <v>578</v>
      </c>
      <c r="B99" s="326">
        <f t="shared" ref="B99:L99" si="35">IF(B17&lt;B18/2,0,IF(OR(B22="A",B22="B"),SUM(B126,B128,B129,B131),B140))</f>
        <v>9100000</v>
      </c>
      <c r="C99" s="326">
        <f t="shared" si="35"/>
        <v>14450000</v>
      </c>
      <c r="D99" s="326">
        <f t="shared" si="35"/>
        <v>0</v>
      </c>
      <c r="E99" s="326">
        <f t="shared" si="35"/>
        <v>16000000</v>
      </c>
      <c r="F99" s="326">
        <f t="shared" si="35"/>
        <v>0</v>
      </c>
      <c r="G99" s="326">
        <f t="shared" si="35"/>
        <v>183300000</v>
      </c>
      <c r="H99" s="326">
        <f t="shared" si="35"/>
        <v>71500000</v>
      </c>
      <c r="I99" s="326">
        <f t="shared" si="35"/>
        <v>13000000</v>
      </c>
      <c r="J99" s="326">
        <f t="shared" si="35"/>
        <v>0</v>
      </c>
      <c r="K99" s="326">
        <f t="shared" si="35"/>
        <v>10500000</v>
      </c>
      <c r="L99" s="326">
        <f t="shared" si="35"/>
        <v>0</v>
      </c>
      <c r="M99" s="340">
        <f t="shared" si="33"/>
        <v>317850000</v>
      </c>
      <c r="N99"/>
      <c r="O99"/>
      <c r="P99"/>
      <c r="Q99"/>
      <c r="R99"/>
      <c r="AA99" s="287"/>
      <c r="AB99"/>
    </row>
    <row r="100" spans="1:29" s="5" customFormat="1">
      <c r="A100" s="405" t="s">
        <v>580</v>
      </c>
      <c r="B100" s="326">
        <f t="shared" ref="B100:L100" si="36">IF(OR(B22="A",B22="B"),SUM(B139,B128,B129,B132,B133,B131),SUM(B139,B131)*$B$4)</f>
        <v>9100000</v>
      </c>
      <c r="C100" s="326">
        <f t="shared" si="36"/>
        <v>14450000</v>
      </c>
      <c r="D100" s="326">
        <f t="shared" si="36"/>
        <v>11000000</v>
      </c>
      <c r="E100" s="326">
        <f t="shared" si="36"/>
        <v>16000000</v>
      </c>
      <c r="F100" s="326">
        <f t="shared" si="36"/>
        <v>0</v>
      </c>
      <c r="G100" s="326">
        <f t="shared" si="36"/>
        <v>90499500</v>
      </c>
      <c r="H100" s="326">
        <f t="shared" si="36"/>
        <v>71500000</v>
      </c>
      <c r="I100" s="326">
        <f t="shared" si="36"/>
        <v>13000000</v>
      </c>
      <c r="J100" s="326"/>
      <c r="K100" s="326">
        <f t="shared" si="36"/>
        <v>10500000</v>
      </c>
      <c r="L100" s="326">
        <f t="shared" si="36"/>
        <v>0</v>
      </c>
      <c r="M100" s="340">
        <f t="shared" si="33"/>
        <v>236049500</v>
      </c>
      <c r="N100"/>
      <c r="O100"/>
      <c r="P100"/>
      <c r="Q100"/>
      <c r="R100"/>
      <c r="AA100" s="287"/>
      <c r="AB100"/>
    </row>
    <row r="101" spans="1:29" s="5" customFormat="1">
      <c r="A101" s="405" t="s">
        <v>481</v>
      </c>
      <c r="B101" s="326">
        <f>ROUND('UAT11-Nov'!B68/6,0)</f>
        <v>12465000</v>
      </c>
      <c r="C101" s="326">
        <f>ROUND('UAT11-Nov'!D68/2,0)</f>
        <v>14450000</v>
      </c>
      <c r="D101" s="326">
        <f>ROUND('UAT11-Nov'!E68/6,0)</f>
        <v>14198333</v>
      </c>
      <c r="E101" s="326">
        <f>ROUND('UAT11-Nov'!F68/6,0)</f>
        <v>16025333</v>
      </c>
      <c r="F101" s="326">
        <f>ROUND('UAT11-Nov'!G68/6,0)</f>
        <v>61880000</v>
      </c>
      <c r="G101" s="326">
        <f>ROUND('UAT11-Nov'!I68/6,0)</f>
        <v>71935500</v>
      </c>
      <c r="H101" s="326">
        <f>ROUND('UAT11-Nov'!J68/6,0)</f>
        <v>49685667</v>
      </c>
      <c r="I101" s="326">
        <f>ROUND('UAT11-Nov'!K68/6,0)</f>
        <v>16365000</v>
      </c>
      <c r="J101" s="326">
        <f>ROUND('UAT11-Nov'!L68/6,0)</f>
        <v>14865000</v>
      </c>
      <c r="K101" s="326">
        <f>ROUND('UAT11-Nov'!M68/6,0)</f>
        <v>13865000</v>
      </c>
      <c r="L101" s="394">
        <f>ROUND('UAT11-Nov'!O68/6,0)</f>
        <v>3875000</v>
      </c>
      <c r="M101" s="340">
        <f t="shared" si="33"/>
        <v>289609833</v>
      </c>
      <c r="N101"/>
      <c r="O101"/>
      <c r="P101"/>
      <c r="Q101"/>
      <c r="R101"/>
      <c r="AA101" s="287"/>
      <c r="AB101"/>
    </row>
    <row r="102" spans="1:29" s="5" customFormat="1">
      <c r="A102" s="436" t="s">
        <v>484</v>
      </c>
      <c r="B102" s="326">
        <f>B98</f>
        <v>9980722</v>
      </c>
      <c r="C102" s="326">
        <f t="shared" ref="C102:L102" si="37">C98</f>
        <v>14450000</v>
      </c>
      <c r="D102" s="326">
        <f t="shared" si="37"/>
        <v>-3666667</v>
      </c>
      <c r="E102" s="326">
        <f t="shared" si="37"/>
        <v>16679452</v>
      </c>
      <c r="F102" s="326">
        <f t="shared" si="37"/>
        <v>29006250</v>
      </c>
      <c r="G102" s="326">
        <f t="shared" si="37"/>
        <v>90499500</v>
      </c>
      <c r="H102" s="326">
        <f t="shared" si="37"/>
        <v>71500000</v>
      </c>
      <c r="I102" s="326">
        <f t="shared" si="37"/>
        <v>13000000</v>
      </c>
      <c r="J102" s="326">
        <f t="shared" si="37"/>
        <v>11500000</v>
      </c>
      <c r="K102" s="326">
        <f t="shared" si="37"/>
        <v>11307700</v>
      </c>
      <c r="L102" s="394">
        <f t="shared" si="37"/>
        <v>4500000</v>
      </c>
      <c r="M102" s="340">
        <f t="shared" si="33"/>
        <v>268756957</v>
      </c>
      <c r="N102"/>
      <c r="O102"/>
      <c r="P102"/>
      <c r="Q102"/>
      <c r="R102"/>
      <c r="AA102" s="287"/>
      <c r="AB102"/>
    </row>
    <row r="103" spans="1:29" s="5" customFormat="1">
      <c r="A103" s="436" t="s">
        <v>600</v>
      </c>
      <c r="B103" s="326">
        <f t="shared" ref="B103:L103" si="38">SUM(B45:B47)</f>
        <v>955500</v>
      </c>
      <c r="C103" s="326">
        <f t="shared" si="38"/>
        <v>361250</v>
      </c>
      <c r="D103" s="326">
        <f t="shared" si="38"/>
        <v>0</v>
      </c>
      <c r="E103" s="326">
        <f t="shared" si="38"/>
        <v>0</v>
      </c>
      <c r="F103" s="326">
        <f t="shared" si="38"/>
        <v>0</v>
      </c>
      <c r="G103" s="326">
        <f t="shared" si="38"/>
        <v>447000</v>
      </c>
      <c r="H103" s="326">
        <f t="shared" si="38"/>
        <v>3546000</v>
      </c>
      <c r="I103" s="326">
        <f t="shared" si="38"/>
        <v>0</v>
      </c>
      <c r="J103" s="326">
        <f t="shared" si="38"/>
        <v>0</v>
      </c>
      <c r="K103" s="326">
        <f t="shared" si="38"/>
        <v>0</v>
      </c>
      <c r="L103" s="394">
        <f t="shared" si="38"/>
        <v>0</v>
      </c>
      <c r="M103" s="340">
        <f t="shared" si="33"/>
        <v>5309750</v>
      </c>
      <c r="N103"/>
      <c r="O103"/>
      <c r="P103"/>
      <c r="Q103"/>
      <c r="R103"/>
      <c r="AA103" s="287"/>
      <c r="AB103" s="81"/>
      <c r="AC103" s="80"/>
    </row>
    <row r="104" spans="1:29">
      <c r="A104" s="436" t="s">
        <v>848</v>
      </c>
      <c r="B104" s="326">
        <f t="shared" ref="B104:L104" si="39">IF(OR(B22="A",B22="C"),B102-B103,B102)</f>
        <v>9025222</v>
      </c>
      <c r="C104" s="326">
        <f t="shared" si="39"/>
        <v>14088750</v>
      </c>
      <c r="D104" s="326">
        <f t="shared" si="39"/>
        <v>-3666667</v>
      </c>
      <c r="E104" s="326">
        <f t="shared" si="39"/>
        <v>16679452</v>
      </c>
      <c r="F104" s="326">
        <f t="shared" si="39"/>
        <v>29006250</v>
      </c>
      <c r="G104" s="326">
        <f t="shared" si="39"/>
        <v>90499500</v>
      </c>
      <c r="H104" s="326">
        <f t="shared" si="39"/>
        <v>67954000</v>
      </c>
      <c r="I104" s="326">
        <f t="shared" si="39"/>
        <v>13000000</v>
      </c>
      <c r="J104" s="326">
        <f t="shared" si="39"/>
        <v>11500000</v>
      </c>
      <c r="K104" s="326">
        <f t="shared" si="39"/>
        <v>11307700</v>
      </c>
      <c r="L104" s="394">
        <f t="shared" si="39"/>
        <v>4500000</v>
      </c>
      <c r="M104" s="340">
        <f t="shared" si="33"/>
        <v>263894207</v>
      </c>
      <c r="AA104" s="287"/>
      <c r="AB104" s="81"/>
      <c r="AC104" s="81"/>
    </row>
    <row r="105" spans="1:29">
      <c r="A105" s="436" t="s">
        <v>849</v>
      </c>
      <c r="B105" s="326">
        <f t="shared" ref="B105:L105" si="40">IF(OR(B22="A",B22="C"),MAX(B104-B25-B24*B23,0),B104)</f>
        <v>0</v>
      </c>
      <c r="C105" s="326">
        <f t="shared" si="40"/>
        <v>5088750</v>
      </c>
      <c r="D105" s="326">
        <f t="shared" si="40"/>
        <v>-3666667</v>
      </c>
      <c r="E105" s="326">
        <f t="shared" si="40"/>
        <v>16679452</v>
      </c>
      <c r="F105" s="326">
        <f t="shared" si="40"/>
        <v>20006250</v>
      </c>
      <c r="G105" s="326">
        <f t="shared" si="40"/>
        <v>90499500</v>
      </c>
      <c r="H105" s="326">
        <f t="shared" si="40"/>
        <v>58954000</v>
      </c>
      <c r="I105" s="326">
        <f t="shared" si="40"/>
        <v>4000000</v>
      </c>
      <c r="J105" s="326">
        <f t="shared" si="40"/>
        <v>11500000</v>
      </c>
      <c r="K105" s="326">
        <f t="shared" si="40"/>
        <v>2307700</v>
      </c>
      <c r="L105" s="394">
        <f t="shared" si="40"/>
        <v>4500000</v>
      </c>
      <c r="M105" s="340">
        <f t="shared" si="33"/>
        <v>209868985</v>
      </c>
      <c r="AA105" s="287"/>
      <c r="AB105" s="81"/>
      <c r="AC105" s="81"/>
    </row>
    <row r="106" spans="1:29">
      <c r="A106" s="436" t="s">
        <v>851</v>
      </c>
      <c r="B106" s="326">
        <f>IF(OR(B22="A",B22="C"),ROUND(MAX(B105*{5;10;15;20;25;30;35}%-{0;0.25;0.75;1.65;3.25;5.85;9.85}*1000000,0),0),IF(B22="B",IF(B105&lt;2000000,0,ROUND(B105*10%,0)),ROUND(B105*20%,0)))</f>
        <v>0</v>
      </c>
      <c r="C106" s="326">
        <f>IF(OR(C22="A",C22="C"),ROUND(MAX(C105*{5;10;15;20;25;30;35}%-{0;0.25;0.75;1.65;3.25;5.85;9.85}*1000000,0),0),IF(C22="B",IF(C105&lt;2000000,0,ROUND(C105*10%,0)),ROUND(C105*20%,0)))</f>
        <v>258875</v>
      </c>
      <c r="D106" s="326">
        <f>IF(OR(D22="A",D22="C"),ROUND(MAX(D105*{5;10;15;20;25;30;35}%-{0;0.25;0.75;1.65;3.25;5.85;9.85}*1000000,0),0),IF(D22="B",IF(D105&lt;2000000,0,ROUND(D105*10%,0)),ROUND(D105*20%,0)))</f>
        <v>0</v>
      </c>
      <c r="E106" s="326">
        <f>IF(OR(E22="A",E22="C"),ROUND(MAX(E105*{5;10;15;20;25;30;35}%-{0;0.25;0.75;1.65;3.25;5.85;9.85}*1000000,0),0),IF(E22="B",IF(E105&lt;2000000,0,ROUND(E105*10%,0)),ROUND(E105*20%,0)))</f>
        <v>1667945</v>
      </c>
      <c r="F106" s="326">
        <f>IF(OR(F22="A",F22="C"),ROUND(MAX(F105*{5;10;15;20;25;30;35}%-{0;0.25;0.75;1.65;3.25;5.85;9.85}*1000000,0),0),IF(F22="B",IF(F105&lt;2000000,0,ROUND(F105*10%,0)),ROUND(F105*20%,0)))</f>
        <v>2351250</v>
      </c>
      <c r="G106" s="326">
        <f>IF(OR(G22="A",G22="C"),ROUND(MAX(G105*{5;10;15;20;25;30;35}%-{0;0.25;0.75;1.65;3.25;5.85;9.85}*1000000,0),0),IF(G22="B",IF(G105&lt;2000000,0,ROUND(G105*10%,0)),ROUND(G105*20%,0)))</f>
        <v>18099900</v>
      </c>
      <c r="H106" s="326">
        <f>IF(OR(H22="A",H22="C"),ROUND(MAX(H105*{5;10;15;20;25;30;35}%-{0;0.25;0.75;1.65;3.25;5.85;9.85}*1000000,0),0),IF(H22="B",IF(H105&lt;2000000,0,ROUND(H105*10%,0)),ROUND(H105*20%,0)))</f>
        <v>11836200</v>
      </c>
      <c r="I106" s="326">
        <f>IF(OR(I22="A",I22="C"),ROUND(MAX(I105*{5;10;15;20;25;30;35}%-{0;0.25;0.75;1.65;3.25;5.85;9.85}*1000000,0),0),IF(I22="B",IF(I105&lt;2000000,0,ROUND(I105*10%,0)),ROUND(I105*20%,0)))</f>
        <v>200000</v>
      </c>
      <c r="J106" s="326">
        <f>IF(OR(J22="A",J22="C"),ROUND(MAX(J105*{5;10;15;20;25;30;35}%-{0;0.25;0.75;1.65;3.25;5.85;9.85}*1000000,0),0),IF(J22="B",IF(J105&lt;2000000,0,ROUND(J105*10%,0)),ROUND(J105*20%,0)))</f>
        <v>2300000</v>
      </c>
      <c r="K106" s="326">
        <f>IF(OR(K22="A",K22="C"),ROUND(MAX(K105*{5;10;15;20;25;30;35}%-{0;0.25;0.75;1.65;3.25;5.85;9.85}*1000000,0),0),IF(K22="B",IF(K105&lt;2000000,0,ROUND(K105*10%,0)),ROUND(K105*20%,0)))</f>
        <v>115385</v>
      </c>
      <c r="L106" s="394">
        <f>IF(OR(L22="A",L22="C"),ROUND(MAX(L105*{5;10;15;20;25;30;35}%-{0;0.25;0.75;1.65;3.25;5.85;9.85}*1000000,0),0),IF(L22="B",IF(L105&lt;2000000,0,ROUND(L105*10%,0)),ROUND(L105*20%,0)))</f>
        <v>450000</v>
      </c>
      <c r="M106" s="340">
        <f t="shared" si="33"/>
        <v>37279555</v>
      </c>
      <c r="AA106" s="287"/>
      <c r="AB106" s="81"/>
      <c r="AC106" s="81"/>
    </row>
    <row r="107" spans="1:29">
      <c r="A107" s="452" t="s">
        <v>1159</v>
      </c>
      <c r="B107" s="431"/>
      <c r="C107" s="431"/>
      <c r="D107" s="431"/>
      <c r="E107" s="431"/>
      <c r="F107" s="431"/>
      <c r="G107" s="431"/>
      <c r="H107" s="431"/>
      <c r="I107" s="431"/>
      <c r="J107" s="431">
        <f>ROUND('UAT11-Nov'!L95*20%,0)+ROUND('UAT10-Oct'!L131*20%,0)+ROUND('UAT9-Sep'!L128*20%,0)+ROUND('UAT8-Aug'!L94*20%,0)+ROUND('UAT7-Jul'!L104*20%,0)+ROUND('UAT6-Jun'!L116*20%,0)+ROUND('UAT5-May'!L85*20%,0)+ROUND('UAT4-Apr'!L81*20%,0)+ROUND('UAT3-Mar'!L100*20%,0)+ROUND('UAT2-Feb'!L99*20%,0)+ROUND('UAT1-Jan'!L91*20%,0)-'UAT11-Nov'!L105</f>
        <v>19416732</v>
      </c>
      <c r="K107" s="431"/>
      <c r="L107" s="493"/>
      <c r="M107" s="486">
        <f t="shared" si="33"/>
        <v>19416732</v>
      </c>
      <c r="AA107" s="287"/>
      <c r="AB107" s="81"/>
      <c r="AC107" s="81"/>
    </row>
    <row r="108" spans="1:29">
      <c r="A108" s="436" t="s">
        <v>866</v>
      </c>
      <c r="B108" s="326">
        <f>B102+'UAT11-Nov'!B104</f>
        <v>164825366</v>
      </c>
      <c r="C108" s="326">
        <f>C102+'UAT11-Nov'!D104</f>
        <v>122121713</v>
      </c>
      <c r="D108" s="326">
        <f>D102+'UAT11-Nov'!E104</f>
        <v>183038040</v>
      </c>
      <c r="E108" s="326">
        <f>E102+'UAT11-Nov'!F104</f>
        <v>183336986</v>
      </c>
      <c r="F108" s="326">
        <f>F102+'UAT11-Nov'!G104</f>
        <v>728334325</v>
      </c>
      <c r="G108" s="326">
        <f>G102+'UAT11-Nov'!I104</f>
        <v>977365112</v>
      </c>
      <c r="H108" s="326">
        <f>H102+'UAT11-Nov'!J104</f>
        <v>542573914</v>
      </c>
      <c r="I108" s="326">
        <f>I102+'UAT11-Nov'!K104</f>
        <v>183581558</v>
      </c>
      <c r="J108" s="326">
        <f>J102+'UAT11-Nov'!L104</f>
        <v>555651070</v>
      </c>
      <c r="K108" s="326">
        <f>K102+'UAT11-Nov'!M104</f>
        <v>150115440</v>
      </c>
      <c r="L108" s="394">
        <f>L102+'UAT11-Nov'!O104</f>
        <v>49795448</v>
      </c>
      <c r="M108" s="340">
        <f t="shared" si="33"/>
        <v>3840738972</v>
      </c>
      <c r="AA108" s="287"/>
      <c r="AB108" s="81"/>
      <c r="AC108" s="81"/>
    </row>
    <row r="109" spans="1:29">
      <c r="A109" s="436" t="s">
        <v>486</v>
      </c>
      <c r="B109" s="326">
        <f>B106+B107+'UAT11-Nov'!B105</f>
        <v>2276309</v>
      </c>
      <c r="C109" s="326">
        <f>C106+C107+'UAT11-Nov'!D105</f>
        <v>1455462</v>
      </c>
      <c r="D109" s="326">
        <f>D106+D107+'UAT11-Nov'!E105</f>
        <v>19356059</v>
      </c>
      <c r="E109" s="326">
        <f>E106+E107+'UAT11-Nov'!F105</f>
        <v>18333698</v>
      </c>
      <c r="F109" s="326">
        <f>F106+F107+'UAT11-Nov'!G105</f>
        <v>134670148</v>
      </c>
      <c r="G109" s="326">
        <f>G106+G107+'UAT11-Nov'!I105</f>
        <v>195473023</v>
      </c>
      <c r="H109" s="326">
        <f>H106+H107+'UAT11-Nov'!J105</f>
        <v>66601039</v>
      </c>
      <c r="I109" s="326">
        <f>I106+I107+'UAT11-Nov'!K105</f>
        <v>7285904</v>
      </c>
      <c r="J109" s="326">
        <f>J106+J107+'UAT11-Nov'!L105</f>
        <v>111130214</v>
      </c>
      <c r="K109" s="326">
        <f>K106+K107+'UAT11-Nov'!M105</f>
        <v>4194239</v>
      </c>
      <c r="L109" s="394">
        <f>L106+L107+'UAT11-Nov'!O105</f>
        <v>4979545</v>
      </c>
      <c r="M109" s="340">
        <f t="shared" si="33"/>
        <v>565755640</v>
      </c>
      <c r="AA109" s="287"/>
      <c r="AB109" s="81"/>
      <c r="AC109" s="81"/>
    </row>
    <row r="110" spans="1:29">
      <c r="A110" s="436" t="s">
        <v>487</v>
      </c>
      <c r="B110" s="326">
        <f>B103+'UAT11-Nov'!B106</f>
        <v>10615500</v>
      </c>
      <c r="C110" s="326">
        <f>C103+'UAT11-Nov'!D106</f>
        <v>2396250</v>
      </c>
      <c r="D110" s="326">
        <f>D103+'UAT11-Nov'!E106</f>
        <v>9930000</v>
      </c>
      <c r="E110" s="326">
        <f>E103+'UAT11-Nov'!F106</f>
        <v>0</v>
      </c>
      <c r="F110" s="326">
        <f>F103+'UAT11-Nov'!G106</f>
        <v>2622000</v>
      </c>
      <c r="G110" s="326">
        <f>G103+'UAT11-Nov'!I106</f>
        <v>4767000</v>
      </c>
      <c r="H110" s="326">
        <f>H103+'UAT11-Nov'!J106</f>
        <v>35389000</v>
      </c>
      <c r="I110" s="326">
        <f>I103+'UAT11-Nov'!K106</f>
        <v>0</v>
      </c>
      <c r="J110" s="326">
        <f>J103+'UAT11-Nov'!L106</f>
        <v>25732500</v>
      </c>
      <c r="K110" s="326">
        <f>K103+'UAT11-Nov'!M106</f>
        <v>0</v>
      </c>
      <c r="L110" s="394">
        <f>L103+'UAT11-Nov'!O106</f>
        <v>0</v>
      </c>
      <c r="M110" s="340">
        <f t="shared" si="33"/>
        <v>91452250</v>
      </c>
      <c r="AA110" s="287"/>
      <c r="AB110" s="81"/>
      <c r="AC110" s="81"/>
    </row>
    <row r="111" spans="1:29">
      <c r="A111" s="436"/>
      <c r="B111" s="326"/>
      <c r="C111" s="326"/>
      <c r="D111" s="326"/>
      <c r="E111" s="326"/>
      <c r="F111" s="326"/>
      <c r="G111" s="326"/>
      <c r="H111" s="326"/>
      <c r="I111" s="326"/>
      <c r="J111" s="326"/>
      <c r="K111" s="326"/>
      <c r="L111" s="394"/>
      <c r="M111" s="533"/>
      <c r="AA111" s="287"/>
      <c r="AB111" s="81"/>
      <c r="AC111" s="81"/>
    </row>
    <row r="112" spans="1:29" ht="15.6">
      <c r="A112" s="404" t="s">
        <v>775</v>
      </c>
      <c r="B112" s="14"/>
      <c r="C112" s="7"/>
      <c r="D112" s="316"/>
      <c r="E112" s="7"/>
      <c r="F112" s="7"/>
      <c r="G112" s="7"/>
      <c r="H112" s="7"/>
      <c r="I112" s="316"/>
      <c r="J112" s="316"/>
      <c r="K112" s="316"/>
      <c r="L112" s="375"/>
      <c r="M112" s="533"/>
      <c r="AA112" s="287"/>
      <c r="AB112" s="81"/>
      <c r="AC112" s="81"/>
    </row>
    <row r="113" spans="1:29">
      <c r="A113" s="436" t="s">
        <v>431</v>
      </c>
      <c r="B113" s="526">
        <f>'UAT11-Nov'!B116-B79*8</f>
        <v>149.81</v>
      </c>
      <c r="C113" s="526">
        <f>'UAT11-Nov'!D116-C79*8</f>
        <v>0</v>
      </c>
      <c r="D113" s="612" t="e">
        <f>ROUND(D120,0)</f>
        <v>#REF!</v>
      </c>
      <c r="E113" s="526">
        <f>'UAT11-Nov'!F116-E79*8</f>
        <v>-40</v>
      </c>
      <c r="F113" s="526">
        <f>'UAT11-Nov'!G116-F79*8</f>
        <v>102.14</v>
      </c>
      <c r="G113" s="526">
        <f>'UAT11-Nov'!I116-G79*8</f>
        <v>0</v>
      </c>
      <c r="H113" s="526">
        <f>'UAT11-Nov'!J116-H79*8</f>
        <v>87.58</v>
      </c>
      <c r="I113" s="526">
        <f>'UAT11-Nov'!K116-I79*8</f>
        <v>159.56</v>
      </c>
      <c r="J113" s="526">
        <f>'UAT11-Nov'!L116-J79*8</f>
        <v>160</v>
      </c>
      <c r="K113" s="526">
        <f>'UAT11-Nov'!M116-K79*8</f>
        <v>160</v>
      </c>
      <c r="L113" s="526">
        <f>'UAT11-Nov'!O116-L79*8</f>
        <v>79.78</v>
      </c>
      <c r="M113" s="533" t="e">
        <f>SUM(B113:L113)</f>
        <v>#REF!</v>
      </c>
      <c r="AA113" s="287"/>
      <c r="AB113" s="81"/>
      <c r="AC113" s="81"/>
    </row>
    <row r="114" spans="1:29" s="154" customFormat="1">
      <c r="A114" s="436" t="s">
        <v>432</v>
      </c>
      <c r="B114" s="526">
        <f>'UAT11-Nov'!B117</f>
        <v>78.900000000000006</v>
      </c>
      <c r="C114" s="526">
        <f>'UAT11-Nov'!D117</f>
        <v>0</v>
      </c>
      <c r="D114" s="612" t="e">
        <f>ROUND(D121,0)</f>
        <v>#REF!</v>
      </c>
      <c r="E114" s="526">
        <f>'UAT11-Nov'!F117</f>
        <v>64</v>
      </c>
      <c r="F114" s="526">
        <f>'UAT11-Nov'!G117</f>
        <v>51.07</v>
      </c>
      <c r="G114" s="526">
        <f>'UAT11-Nov'!I117</f>
        <v>0</v>
      </c>
      <c r="H114" s="526">
        <f>'UAT11-Nov'!J117</f>
        <v>43.79</v>
      </c>
      <c r="I114" s="526">
        <f>'UAT11-Nov'!K117</f>
        <v>79.78</v>
      </c>
      <c r="J114" s="526">
        <f>'UAT11-Nov'!L117</f>
        <v>80</v>
      </c>
      <c r="K114" s="526">
        <f>'UAT11-Nov'!M117</f>
        <v>80</v>
      </c>
      <c r="L114" s="527">
        <f>'UAT11-Nov'!O117</f>
        <v>39.89</v>
      </c>
      <c r="M114" s="533" t="e">
        <f>SUM(B114:L114)</f>
        <v>#REF!</v>
      </c>
      <c r="N114"/>
      <c r="O114"/>
      <c r="P114"/>
      <c r="Q114"/>
      <c r="R114"/>
      <c r="S114" s="5"/>
      <c r="T114" s="5"/>
      <c r="U114" s="5"/>
      <c r="V114" s="5"/>
      <c r="W114" s="5"/>
      <c r="X114" s="5"/>
      <c r="Y114" s="5"/>
      <c r="Z114" s="5"/>
      <c r="AA114" s="287"/>
      <c r="AB114" s="81"/>
      <c r="AC114" s="282"/>
    </row>
    <row r="115" spans="1:29">
      <c r="A115" s="436" t="s">
        <v>433</v>
      </c>
      <c r="B115" s="531">
        <f>'UAT11-Nov'!B118</f>
        <v>0</v>
      </c>
      <c r="C115" s="531">
        <f>'UAT11-Nov'!D118</f>
        <v>0</v>
      </c>
      <c r="D115" s="531">
        <f>'UAT11-Nov'!E118</f>
        <v>0</v>
      </c>
      <c r="E115" s="531">
        <f>'UAT11-Nov'!F118</f>
        <v>160</v>
      </c>
      <c r="F115" s="531">
        <f>'UAT11-Nov'!G118</f>
        <v>0</v>
      </c>
      <c r="G115" s="531">
        <f>'UAT11-Nov'!I118</f>
        <v>0</v>
      </c>
      <c r="H115" s="531">
        <f>'UAT11-Nov'!J118</f>
        <v>0</v>
      </c>
      <c r="I115" s="531">
        <f>'UAT11-Nov'!K118</f>
        <v>0</v>
      </c>
      <c r="J115" s="531">
        <f>'UAT11-Nov'!L118</f>
        <v>0</v>
      </c>
      <c r="K115" s="531">
        <f>'UAT11-Nov'!M118</f>
        <v>0</v>
      </c>
      <c r="L115" s="532">
        <f>'UAT11-Nov'!O118</f>
        <v>0</v>
      </c>
      <c r="M115" s="535">
        <f>SUM(B115:L115)</f>
        <v>160</v>
      </c>
      <c r="AA115" s="287"/>
      <c r="AB115" s="282"/>
      <c r="AC115" s="81"/>
    </row>
    <row r="116" spans="1:29">
      <c r="A116" s="436" t="s">
        <v>434</v>
      </c>
      <c r="B116" s="531">
        <f>'UAT11-Nov'!B119</f>
        <v>39.480000000000004</v>
      </c>
      <c r="C116" s="531">
        <f>'UAT11-Nov'!D119</f>
        <v>0</v>
      </c>
      <c r="D116" s="531">
        <f>'UAT11-Nov'!E119</f>
        <v>0</v>
      </c>
      <c r="E116" s="531">
        <f>'UAT11-Nov'!F119</f>
        <v>0</v>
      </c>
      <c r="F116" s="531">
        <f>'UAT11-Nov'!G119</f>
        <v>0</v>
      </c>
      <c r="G116" s="531">
        <f>'UAT11-Nov'!I119</f>
        <v>0</v>
      </c>
      <c r="H116" s="531">
        <f>'UAT11-Nov'!J119</f>
        <v>0</v>
      </c>
      <c r="I116" s="531">
        <f>'UAT11-Nov'!K119</f>
        <v>39.99</v>
      </c>
      <c r="J116" s="531">
        <f>'UAT11-Nov'!L119</f>
        <v>36.01</v>
      </c>
      <c r="K116" s="531">
        <f>'UAT11-Nov'!M119</f>
        <v>0</v>
      </c>
      <c r="L116" s="532">
        <f>'UAT11-Nov'!O119</f>
        <v>0</v>
      </c>
      <c r="M116" s="535">
        <f>SUM(B116:L116)</f>
        <v>115.47999999999999</v>
      </c>
      <c r="AA116" s="287"/>
      <c r="AB116" s="81"/>
      <c r="AC116" s="81"/>
    </row>
    <row r="117" spans="1:29" s="5" customFormat="1">
      <c r="A117" s="436" t="s">
        <v>435</v>
      </c>
      <c r="B117" s="531">
        <f>'UAT11-Nov'!B120</f>
        <v>11.379999999999999</v>
      </c>
      <c r="C117" s="531">
        <f>'UAT11-Nov'!D120</f>
        <v>0</v>
      </c>
      <c r="D117" s="531">
        <f>'UAT11-Nov'!E120</f>
        <v>0</v>
      </c>
      <c r="E117" s="531">
        <f>'UAT11-Nov'!F120</f>
        <v>0</v>
      </c>
      <c r="F117" s="531">
        <f>'UAT11-Nov'!G120</f>
        <v>0</v>
      </c>
      <c r="G117" s="531">
        <f>'UAT11-Nov'!I120</f>
        <v>0</v>
      </c>
      <c r="H117" s="531">
        <f>'UAT11-Nov'!J120</f>
        <v>0</v>
      </c>
      <c r="I117" s="531">
        <f>'UAT11-Nov'!K120</f>
        <v>0</v>
      </c>
      <c r="J117" s="531">
        <f>'UAT11-Nov'!L120</f>
        <v>0</v>
      </c>
      <c r="K117" s="531">
        <f>'UAT11-Nov'!M120</f>
        <v>0</v>
      </c>
      <c r="L117" s="532">
        <f>'UAT11-Nov'!O120</f>
        <v>0</v>
      </c>
      <c r="M117" s="533">
        <f>SUM(B117:L117)</f>
        <v>11.379999999999999</v>
      </c>
      <c r="N117"/>
      <c r="O117"/>
      <c r="P117"/>
      <c r="Q117"/>
      <c r="R117"/>
      <c r="AA117" s="287"/>
      <c r="AB117" s="81"/>
      <c r="AC117" s="80"/>
    </row>
    <row r="118" spans="1:29" s="5" customFormat="1">
      <c r="A118" s="436"/>
      <c r="H118"/>
      <c r="I118"/>
      <c r="J118"/>
      <c r="K118"/>
      <c r="L118"/>
      <c r="M118" s="341"/>
      <c r="N118"/>
      <c r="O118"/>
      <c r="P118"/>
      <c r="Q118"/>
      <c r="R118"/>
      <c r="AA118" s="287"/>
      <c r="AB118" s="81"/>
      <c r="AC118" s="80"/>
    </row>
    <row r="119" spans="1:29" s="5" customFormat="1" ht="15.6">
      <c r="A119" s="404" t="s">
        <v>436</v>
      </c>
      <c r="E119"/>
      <c r="F119"/>
      <c r="G119"/>
      <c r="H119"/>
      <c r="I119"/>
      <c r="J119"/>
      <c r="K119"/>
      <c r="L119"/>
      <c r="M119"/>
      <c r="N119"/>
      <c r="O119"/>
      <c r="P119"/>
      <c r="Q119"/>
      <c r="R119"/>
      <c r="AA119" s="287"/>
      <c r="AB119" s="81"/>
      <c r="AC119" s="80"/>
    </row>
    <row r="120" spans="1:29" s="5" customFormat="1">
      <c r="A120" s="6" t="s">
        <v>809</v>
      </c>
      <c r="B120" s="528" t="e">
        <f>IF(OR(B12="S",B12="C"),0,IF(OR(B12="1",B12="3"),ROUND(20*8*B19/365,5),ROUND(20*'New Hire'!C24*B19/365,5)))+'UAT11-Nov'!B123</f>
        <v>#REF!</v>
      </c>
      <c r="C120" s="528" t="e">
        <f>IF(OR(C12="S",C12="C"),0,IF(OR(C12="1",C12="3"),ROUND(20*8*C19/365,5),ROUND(20*'New Hire'!E24*C19/365,5)))+'UAT11-Nov'!D123</f>
        <v>#REF!</v>
      </c>
      <c r="D120" s="610" t="e">
        <f>IF(OR(D12="S",D12="C"),0,IF(OR(D12="1",D12="3"),ROUND(20*8*D20/365,5),ROUND(20*'New Hire'!F24*D20/365,5)))+'UAT10-Oct'!#REF!</f>
        <v>#REF!</v>
      </c>
      <c r="E120" s="528" t="e">
        <f>IF(OR(E12="S",E12="C"),0,IF(OR(E12="1",E12="3"),ROUND(20*8*E19/365,5),ROUND(20*'New Hire'!G24*E19/365,5)))+'UAT11-Nov'!F123</f>
        <v>#REF!</v>
      </c>
      <c r="F120" s="528" t="e">
        <f>IF(OR(F12="S",F12="C"),0,IF(OR(F12="1",F12="3"),ROUND(20*8*F19/365,5),ROUND(20*'New Hire'!H24*F19/365,5)))+'UAT11-Nov'!G123</f>
        <v>#REF!</v>
      </c>
      <c r="G120" s="528" t="e">
        <f>IF(OR(G12="S",G12="C"),0,IF(OR(G12="1",G12="3"),ROUND(20*8*G19/365,5),ROUND(20*'New Hire'!J24*G19/365,5)))+'UAT11-Nov'!I123</f>
        <v>#REF!</v>
      </c>
      <c r="H120" s="528" t="e">
        <f>IF(OR(H12="S",H12="C"),0,IF(OR(H12="1",H12="3"),ROUND(20*8*H19/365,5),ROUND(20*'New Hire'!K24*H19/365,5)))+'UAT11-Nov'!J123</f>
        <v>#REF!</v>
      </c>
      <c r="I120" s="528" t="e">
        <f>IF(OR(I12="S",I12="C"),0,IF(OR(I12="1",I12="3"),ROUND(20*8*I19/365,5),ROUND(20*'New Hire'!L24*I19/365,5)))+'UAT11-Nov'!K123</f>
        <v>#REF!</v>
      </c>
      <c r="J120" s="528" t="e">
        <f>IF(OR(J12="S",J12="C"),0,IF(OR(J12="1",J12="3"),ROUND(20*8*J19/365,5),ROUND(20*'New Hire'!M24*J19/365,5)))+'UAT11-Nov'!L123</f>
        <v>#REF!</v>
      </c>
      <c r="K120" s="528" t="e">
        <f>IF(OR(K12="S",K12="C"),0,IF(OR(K12="1",K12="3"),ROUND(20*8*K19/365,5),ROUND(20*'New Hire'!N24*K19/365,5)))+'UAT11-Nov'!M123</f>
        <v>#REF!</v>
      </c>
      <c r="L120" s="528">
        <v>0</v>
      </c>
      <c r="M120"/>
      <c r="N120"/>
      <c r="O120"/>
      <c r="P120"/>
      <c r="Q120"/>
      <c r="R120"/>
      <c r="AA120" s="287"/>
      <c r="AB120" s="81"/>
      <c r="AC120" s="80"/>
    </row>
    <row r="121" spans="1:29" s="5" customFormat="1">
      <c r="A121" s="6" t="s">
        <v>810</v>
      </c>
      <c r="B121" s="529" t="e">
        <f>IF(OR(B12="S",B12="C"),0,IF(OR(B12="1",B12="3"),ROUND(10*8*B19/365,5),ROUND(10*'New Hire'!C24*B19/365,5)))+'UAT11-Nov'!B124</f>
        <v>#REF!</v>
      </c>
      <c r="C121" s="529" t="e">
        <f>IF(OR(C12="S",C12="C"),0,IF(OR(C12="1",C12="3"),ROUND(10*8*C19/365,5),ROUND(10*'New Hire'!E24*C19/365,5)))+'UAT11-Nov'!D124</f>
        <v>#REF!</v>
      </c>
      <c r="D121" s="611" t="e">
        <f>IF(OR(D12="S",D12="C"),0,IF(OR(D12="1",D12="3"),ROUND(10*8*D20/365,5),ROUND(10*'New Hire'!F24*D20/365,5)))+'UAT10-Oct'!#REF!</f>
        <v>#REF!</v>
      </c>
      <c r="E121" s="529" t="e">
        <f>IF(OR(E12="S",E12="C"),0,IF(OR(E12="1",E12="3"),ROUND(10*8*E19/365,5),ROUND(10*'New Hire'!G24*E19/365,5)))+'UAT11-Nov'!F124</f>
        <v>#REF!</v>
      </c>
      <c r="F121" s="529" t="e">
        <f>IF(OR(F12="S",F12="C"),0,IF(OR(F12="1",F12="3"),ROUND(10*8*F19/365,5),ROUND(10*'New Hire'!H24*F19/365,5)))+'UAT11-Nov'!G124</f>
        <v>#REF!</v>
      </c>
      <c r="G121" s="529" t="e">
        <f>IF(OR(G12="S",G12="C"),0,IF(OR(G12="1",G12="3"),ROUND(10*8*G19/365,5),ROUND(10*'New Hire'!J24*G19/365,5)))+'UAT11-Nov'!I124</f>
        <v>#REF!</v>
      </c>
      <c r="H121" s="529" t="e">
        <f>IF(OR(H12="S",H12="C"),0,IF(OR(H12="1",H12="3"),ROUND(10*8*H19/365,5),ROUND(10*'New Hire'!K24*H19/365,5)))+'UAT11-Nov'!J124</f>
        <v>#REF!</v>
      </c>
      <c r="I121" s="529" t="e">
        <f>IF(OR(I12="S",I12="C"),0,IF(OR(I12="1",I12="3"),ROUND(10*8*I19/365,5),ROUND(10*'New Hire'!L24*I19/365,5)))+'UAT11-Nov'!K124</f>
        <v>#REF!</v>
      </c>
      <c r="J121" s="529" t="e">
        <f>IF(OR(J12="S",J12="C"),0,IF(OR(J12="1",J12="3"),ROUND(10*8*J19/365,5),ROUND(10*'New Hire'!M24*J19/365,5)))+'UAT11-Nov'!L124</f>
        <v>#REF!</v>
      </c>
      <c r="K121" s="529" t="e">
        <f>IF(OR(K12="S",K12="C"),0,IF(OR(K12="1",K12="3"),ROUND(10*8*K19/365,5),ROUND(10*'New Hire'!N24*K19/365,5)))+'UAT11-Nov'!M124</f>
        <v>#REF!</v>
      </c>
      <c r="L121" s="529">
        <v>0</v>
      </c>
      <c r="M121"/>
      <c r="N121"/>
      <c r="O121"/>
      <c r="P121"/>
      <c r="Q121"/>
      <c r="R121"/>
      <c r="AA121" s="287"/>
      <c r="AB121" s="81"/>
      <c r="AC121" s="80"/>
    </row>
    <row r="122" spans="1:29" s="5" customFormat="1">
      <c r="A122" s="436" t="s">
        <v>779</v>
      </c>
      <c r="B122" s="528" t="e">
        <f>IF(B115&lt;&gt;0,0,IF('New Hire'!C78=1,ROUND(25/10*B14%/365,5)*B19,0)+'UAT11-Nov'!B125)</f>
        <v>#REF!</v>
      </c>
      <c r="C122" s="528" t="e">
        <f>IF(C115&lt;&gt;0,0,IF('New Hire'!E78=1,ROUND(25/10*C14%/365,5)*C19,0)+'UAT11-Nov'!D125)</f>
        <v>#REF!</v>
      </c>
      <c r="D122" s="528" t="e">
        <f>IF(D115&lt;&gt;0,0,IF('New Hire'!F78=1,ROUND(25/10*D14%/365,5)*D19,0)+'UAT11-Nov'!E125)</f>
        <v>#REF!</v>
      </c>
      <c r="E122" s="528">
        <f>IF(E115&lt;&gt;0,0,IF('New Hire'!G78=1,ROUND(25/10*E14%/365,5)*E19,0)+'UAT11-Nov'!F125)</f>
        <v>0</v>
      </c>
      <c r="F122" s="528" t="e">
        <f>IF(F115&lt;&gt;0,0,IF('New Hire'!H78=1,ROUND(25/10*F14%/365,5)*F19,0)+'UAT11-Nov'!G125)</f>
        <v>#REF!</v>
      </c>
      <c r="G122" s="528" t="e">
        <f>IF(G115&lt;&gt;0,0,IF('New Hire'!J78=1,ROUND(25/10*G14%/365,5)*G19,0)+'UAT11-Nov'!I125)</f>
        <v>#REF!</v>
      </c>
      <c r="H122" s="528" t="e">
        <f>IF(H115&lt;&gt;0,0,IF('New Hire'!K78=1,ROUND(25/10*H14%/365,5)*H19,0)+'UAT11-Nov'!J125)</f>
        <v>#REF!</v>
      </c>
      <c r="I122" s="528" t="e">
        <f>IF(I115&lt;&gt;0,0,IF('New Hire'!L78=1,ROUND(25/10*I14%/365,5)*I19,0)+'UAT11-Nov'!K125)</f>
        <v>#REF!</v>
      </c>
      <c r="J122" s="528" t="e">
        <f>IF(J115&lt;&gt;0,0,IF('New Hire'!M78=1,ROUND(25/10*J14%/365,5)*J19,0)+'UAT11-Nov'!L125)</f>
        <v>#REF!</v>
      </c>
      <c r="K122" s="528" t="e">
        <f>IF(K115&lt;&gt;0,0,IF('New Hire'!N78=1,ROUND(25/10*K14%/365,5)*K19,0)+'UAT11-Nov'!M125)</f>
        <v>#REF!</v>
      </c>
      <c r="L122" s="528" t="e">
        <f>IF(L115&lt;&gt;0,0,IF('New Hire'!P78=1,ROUND(25/10*L14%/365,5)*L19,0)+'UAT11-Nov'!O125)</f>
        <v>#REF!</v>
      </c>
      <c r="M122"/>
      <c r="N122"/>
      <c r="O122"/>
      <c r="P122"/>
      <c r="Q122"/>
      <c r="R122"/>
      <c r="AA122"/>
      <c r="AB122" s="81"/>
      <c r="AC122" s="80"/>
    </row>
    <row r="123" spans="1:29" s="5" customFormat="1">
      <c r="A123" s="436" t="s">
        <v>780</v>
      </c>
      <c r="B123" s="529">
        <f>IF(B12="C",0,IF(B116&lt;&gt;0,0,IF('New Hire'!C78=1,0,ROUND(5/5*B14%/365,5)*B19)+'UAT11-Nov'!B126))</f>
        <v>0</v>
      </c>
      <c r="C123" s="529" t="e">
        <f>IF(C12="C",0,IF(C116&lt;&gt;0,0,IF('New Hire'!D78=1,0,ROUND(5/5*C14%/365,5)*C19)+'UAT11-Nov'!C126))</f>
        <v>#REF!</v>
      </c>
      <c r="D123" s="529" t="e">
        <f>IF(D12="C",0,IF(D116&lt;&gt;0,0,IF('New Hire'!E78=1,0,ROUND(5/5*D14%/365,5)*D19)+'UAT11-Nov'!D126))</f>
        <v>#REF!</v>
      </c>
      <c r="E123" s="529" t="e">
        <f>IF(E12="C",0,IF(E116&lt;&gt;0,0,IF('New Hire'!F78=1,0,ROUND(5/5*E14%/365,5)*E19)+'UAT11-Nov'!E126))</f>
        <v>#REF!</v>
      </c>
      <c r="F123" s="529">
        <f>IF(F12="C",0,IF(F116&lt;&gt;0,0,IF('New Hire'!G78=1,0,ROUND(5/5*F14%/365,5)*F19)+'UAT11-Nov'!F126))</f>
        <v>0</v>
      </c>
      <c r="G123" s="529">
        <f>IF(G12="C",0,IF(G116&lt;&gt;0,0,IF('New Hire'!H78=1,0,ROUND(5/5*G14%/365,5)*G19)+'UAT11-Nov'!G126))</f>
        <v>6.2E-4</v>
      </c>
      <c r="H123" s="529">
        <f>IF(H12="C",0,IF(H116&lt;&gt;0,0,IF('New Hire'!I78=1,0,ROUND(5/5*H14%/365,5)*H19)+'UAT11-Nov'!H126))</f>
        <v>6.2E-4</v>
      </c>
      <c r="I123" s="529">
        <f>IF(I12="C",0,IF(I116&lt;&gt;0,0,IF('New Hire'!J78=1,0,ROUND(5/5*I14%/365,5)*I19)+'UAT11-Nov'!I126))</f>
        <v>0</v>
      </c>
      <c r="J123" s="529">
        <f>IF(J12="C",0,IF(J116&lt;&gt;0,0,IF('New Hire'!K78=1,0,ROUND(5/5*J14%/365,5)*J19)+'UAT11-Nov'!J126))</f>
        <v>0</v>
      </c>
      <c r="K123" s="529">
        <f>IF(K12="C",0,IF(K116&lt;&gt;0,0,IF('New Hire'!L78=1,0,ROUND(5/5*K14%/365,5)*K19)+'UAT11-Nov'!K126))</f>
        <v>9.3000000000000005E-4</v>
      </c>
      <c r="L123" s="529">
        <f>IF(L12="C",0,IF(L116&lt;&gt;0,0,IF('New Hire'!M78=1,0,ROUND(5/5*L14%/365,5)*L19)+'UAT11-Nov'!L126))</f>
        <v>0</v>
      </c>
      <c r="M123"/>
      <c r="N123"/>
      <c r="O123"/>
      <c r="P123"/>
      <c r="Q123"/>
      <c r="R123"/>
      <c r="AA123"/>
      <c r="AB123" s="81"/>
      <c r="AC123" s="80"/>
    </row>
    <row r="124" spans="1:29" s="5" customFormat="1">
      <c r="A124" s="436"/>
      <c r="B124" s="526"/>
      <c r="C124" s="526"/>
      <c r="D124" s="526"/>
      <c r="E124" s="526"/>
      <c r="F124" s="526"/>
      <c r="G124" s="526"/>
      <c r="H124" s="526"/>
      <c r="I124" s="526"/>
      <c r="J124" s="526"/>
      <c r="K124" s="526"/>
      <c r="L124" s="526"/>
      <c r="M124"/>
      <c r="N124"/>
      <c r="O124"/>
      <c r="P124"/>
      <c r="Q124"/>
      <c r="R124"/>
      <c r="AA124"/>
      <c r="AB124" s="81"/>
      <c r="AC124" s="80"/>
    </row>
    <row r="125" spans="1:29" s="5" customFormat="1" ht="15.6">
      <c r="A125" s="404" t="s">
        <v>622</v>
      </c>
      <c r="E125"/>
      <c r="F125"/>
      <c r="G125"/>
      <c r="H125"/>
      <c r="I125"/>
      <c r="J125"/>
      <c r="K125"/>
      <c r="L125"/>
      <c r="M125"/>
      <c r="N125"/>
      <c r="O125"/>
      <c r="P125"/>
      <c r="Q125"/>
      <c r="R125"/>
      <c r="AA125"/>
      <c r="AB125" s="81"/>
      <c r="AC125" s="80"/>
    </row>
    <row r="126" spans="1:29" s="5" customFormat="1">
      <c r="A126" s="514" t="s">
        <v>477</v>
      </c>
      <c r="B126" s="515">
        <v>7000000</v>
      </c>
      <c r="C126" s="515">
        <v>11000000</v>
      </c>
      <c r="D126" s="515">
        <v>11000000</v>
      </c>
      <c r="E126" s="515">
        <v>16000000</v>
      </c>
      <c r="F126"/>
      <c r="G126" s="515">
        <v>4200</v>
      </c>
      <c r="H126" s="515">
        <v>55000000</v>
      </c>
      <c r="I126" s="515">
        <v>10000000</v>
      </c>
      <c r="J126" s="515">
        <v>11500000</v>
      </c>
      <c r="K126" s="515">
        <v>7000000</v>
      </c>
      <c r="L126"/>
      <c r="M126"/>
      <c r="N126"/>
      <c r="O126"/>
      <c r="P126"/>
      <c r="Q126"/>
      <c r="R126"/>
      <c r="AA126"/>
      <c r="AB126" s="81"/>
      <c r="AC126" s="80"/>
    </row>
    <row r="127" spans="1:29">
      <c r="A127" s="436" t="s">
        <v>750</v>
      </c>
      <c r="B127" s="443"/>
      <c r="C127" s="443"/>
      <c r="D127" s="443"/>
      <c r="E127" s="443"/>
      <c r="F127" s="515">
        <v>250</v>
      </c>
      <c r="G127" s="443"/>
      <c r="H127" s="443"/>
      <c r="I127" s="443"/>
      <c r="J127" s="443"/>
      <c r="K127" s="443"/>
      <c r="L127" s="515">
        <v>900000</v>
      </c>
      <c r="AB127" s="81"/>
      <c r="AC127" s="81"/>
    </row>
    <row r="128" spans="1:29">
      <c r="A128" s="442" t="s">
        <v>494</v>
      </c>
      <c r="B128" s="443">
        <v>700000</v>
      </c>
      <c r="C128" s="443">
        <v>1100000</v>
      </c>
      <c r="D128" s="443">
        <v>0</v>
      </c>
      <c r="E128" s="443">
        <v>0</v>
      </c>
      <c r="F128" s="443">
        <v>0</v>
      </c>
      <c r="G128" s="443">
        <v>0</v>
      </c>
      <c r="H128" s="443">
        <v>5500000</v>
      </c>
      <c r="I128" s="443">
        <v>1000000</v>
      </c>
      <c r="J128" s="443">
        <v>0</v>
      </c>
      <c r="K128" s="443">
        <v>1400000</v>
      </c>
      <c r="L128" s="443">
        <f>'New Hire'!P34</f>
        <v>0</v>
      </c>
      <c r="AB128" s="81"/>
      <c r="AC128" s="81"/>
    </row>
    <row r="129" spans="1:29">
      <c r="A129" s="408" t="s">
        <v>566</v>
      </c>
      <c r="B129" s="443">
        <v>1400000</v>
      </c>
      <c r="C129" s="443">
        <v>2350000</v>
      </c>
      <c r="D129" s="443">
        <v>0</v>
      </c>
      <c r="E129" s="443">
        <v>0</v>
      </c>
      <c r="F129" s="443">
        <v>0</v>
      </c>
      <c r="G129" s="443">
        <v>0</v>
      </c>
      <c r="H129" s="443">
        <v>11000000</v>
      </c>
      <c r="I129" s="443">
        <v>2000000</v>
      </c>
      <c r="J129" s="443">
        <v>0</v>
      </c>
      <c r="K129" s="443">
        <v>2100000</v>
      </c>
      <c r="L129" s="443">
        <f>'New Hire'!P36</f>
        <v>0</v>
      </c>
      <c r="AB129" s="81"/>
      <c r="AC129" s="81"/>
    </row>
    <row r="130" spans="1:29">
      <c r="A130" s="416" t="s">
        <v>493</v>
      </c>
      <c r="B130" s="443"/>
      <c r="C130" s="443"/>
      <c r="D130" s="443"/>
      <c r="E130" s="443"/>
      <c r="F130" s="443"/>
      <c r="G130" s="443"/>
      <c r="H130" s="443"/>
      <c r="I130" s="443"/>
      <c r="J130" s="443"/>
      <c r="K130" s="443"/>
      <c r="L130" s="443"/>
    </row>
    <row r="131" spans="1:29">
      <c r="A131" s="405" t="s">
        <v>528</v>
      </c>
      <c r="B131" s="443"/>
      <c r="C131" s="443"/>
      <c r="D131" s="443"/>
      <c r="E131" s="443"/>
      <c r="F131" s="443"/>
      <c r="G131" s="443"/>
      <c r="H131" s="443"/>
      <c r="I131" s="443"/>
      <c r="J131" s="443"/>
      <c r="K131" s="443"/>
      <c r="L131" s="443"/>
    </row>
    <row r="132" spans="1:29">
      <c r="A132" s="416" t="s">
        <v>592</v>
      </c>
      <c r="B132" s="443"/>
      <c r="C132" s="443"/>
      <c r="D132" s="443"/>
      <c r="E132" s="443"/>
      <c r="F132" s="443"/>
      <c r="G132" s="443"/>
      <c r="H132" s="443"/>
      <c r="I132" s="443"/>
      <c r="J132" s="443"/>
      <c r="K132" s="443"/>
      <c r="L132" s="443"/>
    </row>
    <row r="133" spans="1:29">
      <c r="A133" s="408" t="s">
        <v>491</v>
      </c>
      <c r="B133" s="443"/>
      <c r="C133" s="443"/>
      <c r="D133" s="443"/>
      <c r="E133" s="443"/>
      <c r="F133" s="443"/>
      <c r="G133" s="443"/>
      <c r="H133" s="443"/>
      <c r="I133" s="443"/>
      <c r="J133" s="443"/>
      <c r="K133" s="443"/>
      <c r="L133" s="443"/>
    </row>
    <row r="134" spans="1:29">
      <c r="A134" s="408" t="s">
        <v>497</v>
      </c>
      <c r="B134" s="443"/>
      <c r="C134" s="443"/>
      <c r="D134" s="443"/>
      <c r="E134" s="443"/>
      <c r="F134" s="443"/>
      <c r="G134" s="443"/>
      <c r="H134" s="443"/>
      <c r="I134" s="443"/>
      <c r="J134" s="443"/>
      <c r="K134" s="443"/>
      <c r="L134" s="443"/>
    </row>
    <row r="135" spans="1:29">
      <c r="A135" s="6" t="s">
        <v>623</v>
      </c>
      <c r="B135" s="443"/>
      <c r="C135" s="443"/>
      <c r="D135" s="443"/>
      <c r="E135" s="443"/>
      <c r="F135" s="443"/>
      <c r="G135" s="443"/>
      <c r="H135" s="443"/>
      <c r="I135" s="443"/>
      <c r="J135" s="443"/>
      <c r="K135" s="443"/>
      <c r="L135" s="443"/>
    </row>
    <row r="136" spans="1:29">
      <c r="A136" s="6" t="s">
        <v>625</v>
      </c>
      <c r="B136" s="443"/>
      <c r="C136" s="443"/>
      <c r="D136" s="443"/>
      <c r="E136" s="443"/>
      <c r="F136" s="443"/>
      <c r="G136" s="443"/>
      <c r="H136" s="443"/>
      <c r="I136" s="443"/>
      <c r="J136" s="443"/>
      <c r="K136" s="443"/>
      <c r="L136" s="443"/>
    </row>
    <row r="137" spans="1:29">
      <c r="A137" s="405" t="s">
        <v>606</v>
      </c>
      <c r="B137" s="443"/>
      <c r="C137" s="443"/>
      <c r="D137" s="443"/>
      <c r="E137" s="443"/>
      <c r="F137" s="443"/>
      <c r="G137" s="443">
        <v>100</v>
      </c>
      <c r="H137" s="443"/>
      <c r="I137" s="443"/>
      <c r="J137" s="443"/>
      <c r="K137" s="443"/>
      <c r="L137" s="443"/>
    </row>
    <row r="138" spans="1:29">
      <c r="A138" s="405" t="s">
        <v>607</v>
      </c>
      <c r="B138" s="443"/>
      <c r="C138" s="443"/>
      <c r="D138" s="443"/>
      <c r="E138" s="443"/>
      <c r="F138" s="443"/>
      <c r="G138" s="443">
        <v>200</v>
      </c>
      <c r="H138" s="443"/>
      <c r="I138" s="443"/>
      <c r="J138" s="443"/>
      <c r="K138" s="443"/>
      <c r="L138" s="443"/>
    </row>
    <row r="139" spans="1:29">
      <c r="A139" s="6" t="s">
        <v>626</v>
      </c>
      <c r="B139" s="443">
        <f t="shared" ref="B139:J139" si="41">IF(OR(B22="A",B22="B"),B126,(B126-B137-B138)*B86)</f>
        <v>7000000</v>
      </c>
      <c r="C139" s="443">
        <f t="shared" si="41"/>
        <v>11000000</v>
      </c>
      <c r="D139" s="443">
        <f t="shared" si="41"/>
        <v>11000000</v>
      </c>
      <c r="E139" s="443">
        <f t="shared" si="41"/>
        <v>16000000</v>
      </c>
      <c r="F139" s="443">
        <f t="shared" si="41"/>
        <v>0</v>
      </c>
      <c r="G139" s="443">
        <f t="shared" si="41"/>
        <v>3900</v>
      </c>
      <c r="H139" s="443">
        <f t="shared" si="41"/>
        <v>55000000</v>
      </c>
      <c r="I139" s="443">
        <f t="shared" si="41"/>
        <v>10000000</v>
      </c>
      <c r="J139" s="443">
        <f t="shared" si="41"/>
        <v>11500000</v>
      </c>
      <c r="K139" s="443">
        <f>IF(OR(K22="A",K22="B"),K126,(K126-K137-K138)*K86)</f>
        <v>7000000</v>
      </c>
      <c r="L139" s="443">
        <f>IF(OR(L22="A",L22="B"),L126,(L126-L137-L138)*L86)</f>
        <v>0</v>
      </c>
    </row>
    <row r="140" spans="1:29">
      <c r="A140" s="6" t="s">
        <v>628</v>
      </c>
      <c r="B140" s="443">
        <f t="shared" ref="B140:I140" si="42">IF(B12="C",0,IF(OR(B22="A",B22="B"),0,ROUND(B139*$B$5,0)+ROUND(B139*$B$5,0)+ROUND(B129*$B$5,0)+ROUND(B131*$B$5,0)))</f>
        <v>0</v>
      </c>
      <c r="C140" s="443">
        <f t="shared" si="42"/>
        <v>0</v>
      </c>
      <c r="D140" s="443">
        <f t="shared" si="42"/>
        <v>0</v>
      </c>
      <c r="E140" s="443">
        <f t="shared" si="42"/>
        <v>0</v>
      </c>
      <c r="F140" s="443">
        <f t="shared" si="42"/>
        <v>0</v>
      </c>
      <c r="G140" s="443">
        <f t="shared" si="42"/>
        <v>183300000</v>
      </c>
      <c r="H140" s="443">
        <f t="shared" si="42"/>
        <v>0</v>
      </c>
      <c r="I140" s="443">
        <f t="shared" si="42"/>
        <v>0</v>
      </c>
      <c r="J140" s="443">
        <v>0</v>
      </c>
      <c r="K140" s="443">
        <f>IF(K12="C",0,IF(OR(K22="A",K22="B"),0,ROUND(K139*$B$5,0)+ROUND(K128*$B$5,0)+ROUND(K129*$B$5,0)+ROUND(K131*$B$5,0)))</f>
        <v>0</v>
      </c>
      <c r="L140" s="443">
        <f>IF(L12="C",0,IF(OR(L22="A",L22="B"),0,ROUND(L139*$B$5,0)+ROUND(L128*$B$5,0)+ROUND(L129*$B$5,0)+ROUND(L131*$B$5,0)))</f>
        <v>0</v>
      </c>
    </row>
    <row r="141" spans="1:29">
      <c r="A141" s="6" t="s">
        <v>657</v>
      </c>
      <c r="B141" s="5">
        <v>0</v>
      </c>
      <c r="C141" s="5">
        <v>0</v>
      </c>
      <c r="D141" s="5">
        <v>0</v>
      </c>
      <c r="E141" s="5">
        <v>0</v>
      </c>
      <c r="F141" s="5">
        <v>0</v>
      </c>
      <c r="G141" s="5">
        <v>0</v>
      </c>
      <c r="H141" s="5">
        <v>0</v>
      </c>
      <c r="I141" s="5">
        <v>0</v>
      </c>
      <c r="J141" s="5">
        <v>0</v>
      </c>
      <c r="K141" s="5">
        <v>0</v>
      </c>
      <c r="L141" s="5">
        <v>0</v>
      </c>
    </row>
    <row r="142" spans="1:29">
      <c r="A142" s="6" t="s">
        <v>812</v>
      </c>
      <c r="B142" s="5">
        <v>0</v>
      </c>
      <c r="C142" s="5">
        <v>0</v>
      </c>
      <c r="D142" s="5">
        <v>36</v>
      </c>
      <c r="E142">
        <v>0</v>
      </c>
      <c r="F142">
        <v>0</v>
      </c>
      <c r="G142">
        <v>0</v>
      </c>
      <c r="H142">
        <v>0</v>
      </c>
      <c r="I142">
        <v>0</v>
      </c>
      <c r="J142">
        <v>0</v>
      </c>
      <c r="K142">
        <v>0</v>
      </c>
      <c r="L142">
        <v>0</v>
      </c>
    </row>
  </sheetData>
  <mergeCells count="4">
    <mergeCell ref="F6:H6"/>
    <mergeCell ref="U6:X6"/>
    <mergeCell ref="M7:M8"/>
    <mergeCell ref="U9:X12"/>
  </mergeCells>
  <phoneticPr fontId="104" type="noConversion"/>
  <pageMargins left="0.75" right="0.75" top="1" bottom="1" header="0.5" footer="0.5"/>
  <pageSetup paperSize="9" orientation="portrait" verticalDpi="90" r:id="rId1"/>
  <headerFooter alignWithMargins="0"/>
  <drawing r:id="rId2"/>
  <legacyDrawing r:id="rId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B153"/>
  <sheetViews>
    <sheetView workbookViewId="0">
      <pane xSplit="1" ySplit="9" topLeftCell="B61" activePane="bottomRight" state="frozen"/>
      <selection pane="topRight" activeCell="B1" sqref="B1"/>
      <selection pane="bottomLeft" activeCell="A10" sqref="A10"/>
      <selection pane="bottomRight" activeCell="G72" sqref="G72"/>
    </sheetView>
  </sheetViews>
  <sheetFormatPr defaultRowHeight="13.8"/>
  <cols>
    <col min="1" max="1" width="31" style="5" bestFit="1" customWidth="1"/>
    <col min="2" max="3" width="10.77734375" style="5" customWidth="1"/>
    <col min="4" max="5" width="10.77734375" customWidth="1"/>
    <col min="6" max="6" width="11.6640625" bestFit="1" customWidth="1"/>
    <col min="7" max="11" width="10.77734375" customWidth="1"/>
    <col min="12" max="12" width="12.6640625" bestFit="1" customWidth="1"/>
    <col min="13" max="14" width="12.77734375" customWidth="1"/>
    <col min="15" max="17" width="10.77734375" customWidth="1"/>
    <col min="18" max="22" width="9.33203125" style="5" customWidth="1"/>
    <col min="23" max="23" width="10.77734375" style="5" bestFit="1" customWidth="1"/>
    <col min="24" max="25" width="9.33203125" style="5" customWidth="1"/>
    <col min="28" max="28" width="10.6640625" bestFit="1" customWidth="1"/>
  </cols>
  <sheetData>
    <row r="1" spans="1:25" s="3" customFormat="1" ht="20.399999999999999">
      <c r="A1" s="104" t="s">
        <v>6</v>
      </c>
      <c r="B1" s="104"/>
      <c r="C1" s="104"/>
      <c r="D1" s="440"/>
      <c r="I1" s="8"/>
      <c r="T1" s="1"/>
      <c r="U1" s="1"/>
      <c r="V1" s="1"/>
      <c r="W1" s="1"/>
      <c r="X1" s="1"/>
      <c r="Y1" s="1"/>
    </row>
    <row r="2" spans="1:25" s="3" customFormat="1" ht="12.75" customHeight="1">
      <c r="B2" s="110"/>
      <c r="C2" s="110"/>
      <c r="R2" s="22"/>
      <c r="S2" s="22"/>
      <c r="T2" s="22"/>
      <c r="U2" s="22"/>
      <c r="V2" s="22"/>
      <c r="W2" s="2"/>
      <c r="Y2" s="2"/>
    </row>
    <row r="3" spans="1:25" s="3" customFormat="1" ht="30">
      <c r="A3" s="106" t="s">
        <v>886</v>
      </c>
      <c r="B3" s="110"/>
      <c r="C3" s="110"/>
      <c r="R3" s="22"/>
      <c r="S3" s="22"/>
      <c r="T3" s="22"/>
      <c r="U3" s="22"/>
      <c r="V3" s="22"/>
      <c r="W3" s="2"/>
      <c r="Y3" s="2"/>
    </row>
    <row r="4" spans="1:25" s="110" customFormat="1">
      <c r="A4" s="110" t="s">
        <v>1265</v>
      </c>
      <c r="B4" s="361">
        <v>25200</v>
      </c>
    </row>
    <row r="5" spans="1:25" s="110" customFormat="1">
      <c r="A5" s="110" t="s">
        <v>1268</v>
      </c>
      <c r="B5" s="361">
        <v>23500</v>
      </c>
    </row>
    <row r="6" spans="1:25" s="3" customFormat="1" ht="18" customHeight="1">
      <c r="A6" s="321">
        <v>43861</v>
      </c>
      <c r="B6" s="110"/>
      <c r="C6" s="110"/>
      <c r="E6" s="748" t="s">
        <v>52</v>
      </c>
      <c r="F6" s="748"/>
      <c r="G6" s="748"/>
      <c r="R6" s="22"/>
      <c r="S6" s="22"/>
      <c r="T6" s="747" t="s">
        <v>65</v>
      </c>
      <c r="U6" s="747"/>
      <c r="V6" s="747"/>
      <c r="W6" s="747"/>
      <c r="X6" s="2"/>
      <c r="Y6" s="2"/>
    </row>
    <row r="7" spans="1:25" s="4" customFormat="1">
      <c r="A7" s="402"/>
      <c r="B7" s="613" t="s">
        <v>34</v>
      </c>
      <c r="C7" s="318" t="s">
        <v>36</v>
      </c>
      <c r="D7" s="318" t="s">
        <v>38</v>
      </c>
      <c r="E7" s="318" t="s">
        <v>39</v>
      </c>
      <c r="F7" s="318" t="s">
        <v>41</v>
      </c>
      <c r="G7" s="511" t="s">
        <v>42</v>
      </c>
      <c r="H7" s="318" t="s">
        <v>43</v>
      </c>
      <c r="I7" s="318" t="s">
        <v>44</v>
      </c>
      <c r="J7" s="318" t="s">
        <v>45</v>
      </c>
      <c r="K7" s="318" t="s">
        <v>47</v>
      </c>
      <c r="L7" s="758" t="s">
        <v>498</v>
      </c>
      <c r="M7" s="343" t="s">
        <v>514</v>
      </c>
      <c r="N7" s="343" t="s">
        <v>515</v>
      </c>
      <c r="O7" s="343" t="s">
        <v>517</v>
      </c>
      <c r="P7" s="343" t="s">
        <v>519</v>
      </c>
      <c r="Q7" s="343" t="s">
        <v>521</v>
      </c>
      <c r="R7" s="344"/>
      <c r="S7" s="345"/>
      <c r="T7" s="345"/>
      <c r="U7" s="345"/>
      <c r="V7" s="345"/>
      <c r="W7" s="345"/>
      <c r="X7" s="345"/>
      <c r="Y7" s="346"/>
    </row>
    <row r="8" spans="1:25" ht="15.6">
      <c r="A8" s="403"/>
      <c r="B8" s="614">
        <f>'New Hire'!C6</f>
        <v>91999901</v>
      </c>
      <c r="C8" s="333">
        <f>'New Hire'!E6</f>
        <v>91999903</v>
      </c>
      <c r="D8" s="333">
        <f>'New Hire'!G6</f>
        <v>91999905</v>
      </c>
      <c r="E8" s="333">
        <f>'New Hire'!H6</f>
        <v>91999906</v>
      </c>
      <c r="F8" s="333">
        <f>'New Hire'!J6</f>
        <v>91999908</v>
      </c>
      <c r="G8" s="512">
        <f>'New Hire'!K6</f>
        <v>91999909</v>
      </c>
      <c r="H8" s="333">
        <f>'New Hire'!L6</f>
        <v>91999910</v>
      </c>
      <c r="I8" s="333">
        <f>'New Hire'!M6</f>
        <v>91999911</v>
      </c>
      <c r="J8" s="333">
        <f>'New Hire'!N6</f>
        <v>91999912</v>
      </c>
      <c r="K8" s="333">
        <f>'New Hire'!P6</f>
        <v>91999914</v>
      </c>
      <c r="L8" s="759"/>
      <c r="M8" s="343" t="s">
        <v>513</v>
      </c>
      <c r="N8" s="343" t="s">
        <v>516</v>
      </c>
      <c r="O8" s="343" t="s">
        <v>518</v>
      </c>
      <c r="P8" s="343" t="s">
        <v>520</v>
      </c>
      <c r="Q8" s="343" t="s">
        <v>522</v>
      </c>
      <c r="R8" s="47"/>
      <c r="S8" s="48"/>
      <c r="T8" s="20"/>
      <c r="U8" s="20"/>
      <c r="V8" s="20"/>
      <c r="W8" s="20"/>
      <c r="X8" s="20"/>
      <c r="Y8" s="15"/>
    </row>
    <row r="9" spans="1:25" ht="12.75" customHeight="1">
      <c r="A9" s="404" t="s">
        <v>63</v>
      </c>
      <c r="B9" s="23"/>
      <c r="C9" s="19"/>
      <c r="D9" s="19"/>
      <c r="E9" s="19"/>
      <c r="F9" s="19"/>
      <c r="G9" s="19"/>
      <c r="H9" s="20"/>
      <c r="I9" s="20"/>
      <c r="J9" s="20"/>
      <c r="K9" s="15"/>
      <c r="L9" s="15"/>
      <c r="M9" s="20"/>
      <c r="N9" s="20"/>
      <c r="O9" s="20"/>
      <c r="P9" s="20"/>
      <c r="Q9" s="20"/>
      <c r="R9" s="25"/>
      <c r="S9" s="26"/>
      <c r="T9" s="749" t="s">
        <v>601</v>
      </c>
      <c r="U9" s="750"/>
      <c r="V9" s="750"/>
      <c r="W9" s="751"/>
      <c r="X9" s="27"/>
      <c r="Y9" s="18"/>
    </row>
    <row r="10" spans="1:25">
      <c r="A10" s="417" t="s">
        <v>478</v>
      </c>
      <c r="B10" s="379">
        <v>43831</v>
      </c>
      <c r="C10" s="379">
        <v>43831</v>
      </c>
      <c r="D10" s="379">
        <v>43831</v>
      </c>
      <c r="E10" s="379">
        <v>43831</v>
      </c>
      <c r="F10" s="379">
        <v>43831</v>
      </c>
      <c r="G10" s="379">
        <v>43831</v>
      </c>
      <c r="H10" s="379">
        <v>43831</v>
      </c>
      <c r="I10" s="379">
        <v>43831</v>
      </c>
      <c r="J10" s="379">
        <v>43831</v>
      </c>
      <c r="K10" s="380">
        <v>43831</v>
      </c>
      <c r="L10" s="15"/>
      <c r="M10" s="20"/>
      <c r="N10" s="20"/>
      <c r="O10" s="20"/>
      <c r="P10" s="20"/>
      <c r="Q10" s="20"/>
      <c r="R10" s="28"/>
      <c r="S10" s="29"/>
      <c r="T10" s="752"/>
      <c r="U10" s="753"/>
      <c r="V10" s="753"/>
      <c r="W10" s="754"/>
      <c r="X10" s="30"/>
      <c r="Y10" s="15"/>
    </row>
    <row r="11" spans="1:25">
      <c r="A11" s="417" t="s">
        <v>1180</v>
      </c>
      <c r="B11" s="379"/>
      <c r="C11" s="379"/>
      <c r="D11" s="379"/>
      <c r="E11" s="379"/>
      <c r="F11" s="379"/>
      <c r="G11" s="379">
        <v>43845</v>
      </c>
      <c r="H11" s="379"/>
      <c r="I11" s="379"/>
      <c r="J11" s="379"/>
      <c r="K11" s="380"/>
      <c r="L11" s="15"/>
      <c r="M11" s="20"/>
      <c r="N11" s="20"/>
      <c r="O11" s="20"/>
      <c r="P11" s="20"/>
      <c r="Q11" s="20"/>
      <c r="R11" s="28"/>
      <c r="S11" s="29"/>
      <c r="T11" s="752"/>
      <c r="U11" s="753"/>
      <c r="V11" s="753"/>
      <c r="W11" s="754"/>
      <c r="X11" s="30"/>
      <c r="Y11" s="15"/>
    </row>
    <row r="12" spans="1:25" ht="12.75" customHeight="1">
      <c r="A12" s="98" t="s">
        <v>489</v>
      </c>
      <c r="B12" s="381" t="str">
        <f>'New Hire'!C10</f>
        <v>1</v>
      </c>
      <c r="C12" s="382" t="str">
        <f>'New Hire'!E10</f>
        <v>3</v>
      </c>
      <c r="D12" s="382">
        <f>'New Hire'!G10</f>
        <v>4</v>
      </c>
      <c r="E12" s="382" t="str">
        <f>'New Hire'!H10</f>
        <v>C</v>
      </c>
      <c r="F12" s="382" t="str">
        <f>'New Hire'!J10</f>
        <v>S</v>
      </c>
      <c r="G12" s="382" t="str">
        <f>'New Hire'!K10</f>
        <v>P</v>
      </c>
      <c r="H12" s="382" t="str">
        <f>'New Hire'!L10</f>
        <v>1</v>
      </c>
      <c r="I12" s="382" t="str">
        <f>'New Hire'!M10</f>
        <v>1</v>
      </c>
      <c r="J12" s="382">
        <f>'New Hire'!N10</f>
        <v>3</v>
      </c>
      <c r="K12" s="383" t="str">
        <f>'New Hire'!P10</f>
        <v>C</v>
      </c>
      <c r="L12" s="15"/>
      <c r="M12" s="20"/>
      <c r="N12" s="20"/>
      <c r="O12" s="20"/>
      <c r="P12" s="20"/>
      <c r="Q12" s="20"/>
      <c r="R12" s="32"/>
      <c r="S12" s="20"/>
      <c r="T12" s="752"/>
      <c r="U12" s="753"/>
      <c r="V12" s="753"/>
      <c r="W12" s="754"/>
      <c r="X12" s="20"/>
      <c r="Y12" s="15"/>
    </row>
    <row r="13" spans="1:25" ht="12.75" customHeight="1">
      <c r="A13" s="98" t="s">
        <v>490</v>
      </c>
      <c r="B13" s="384" t="str">
        <f>'New Hire'!C11</f>
        <v>;P</v>
      </c>
      <c r="C13" s="385" t="str">
        <f>'New Hire'!E11</f>
        <v>;E</v>
      </c>
      <c r="D13" s="385" t="str">
        <f>'New Hire'!G11</f>
        <v>;P</v>
      </c>
      <c r="E13" s="385" t="str">
        <f>'New Hire'!H11</f>
        <v>;A</v>
      </c>
      <c r="F13" s="385" t="str">
        <f>'New Hire'!J11</f>
        <v>;V</v>
      </c>
      <c r="G13" s="385" t="str">
        <f>'New Hire'!K11</f>
        <v>;P</v>
      </c>
      <c r="H13" s="385" t="str">
        <f>'New Hire'!L11</f>
        <v>;A</v>
      </c>
      <c r="I13" s="385" t="str">
        <f>'New Hire'!M11</f>
        <v>;I</v>
      </c>
      <c r="J13" s="385" t="str">
        <f>'New Hire'!N11</f>
        <v>;P</v>
      </c>
      <c r="K13" s="386" t="str">
        <f>'New Hire'!P11</f>
        <v>;I</v>
      </c>
      <c r="L13" s="15"/>
      <c r="M13" s="20"/>
      <c r="N13" s="20"/>
      <c r="O13" s="20"/>
      <c r="P13" s="20"/>
      <c r="Q13" s="20"/>
      <c r="R13" s="32"/>
      <c r="S13" s="20"/>
      <c r="T13" s="755"/>
      <c r="U13" s="756"/>
      <c r="V13" s="756"/>
      <c r="W13" s="757"/>
      <c r="X13" s="20"/>
      <c r="Y13" s="15"/>
    </row>
    <row r="14" spans="1:25">
      <c r="A14" s="99" t="s">
        <v>476</v>
      </c>
      <c r="B14" s="388">
        <f>'New Hire'!C27</f>
        <v>1</v>
      </c>
      <c r="C14" s="332">
        <f>'New Hire'!E27</f>
        <v>1</v>
      </c>
      <c r="D14" s="332">
        <f>'New Hire'!G27</f>
        <v>0.8</v>
      </c>
      <c r="E14" s="332">
        <f>'New Hire'!H27</f>
        <v>1</v>
      </c>
      <c r="F14" s="332">
        <f>'New Hire'!J27</f>
        <v>0.75</v>
      </c>
      <c r="G14" s="332">
        <f>'New Hire'!K27</f>
        <v>0.6</v>
      </c>
      <c r="H14" s="332">
        <f>'New Hire'!L27</f>
        <v>1</v>
      </c>
      <c r="I14" s="332">
        <f>'New Hire'!M27</f>
        <v>1</v>
      </c>
      <c r="J14" s="332">
        <f>'New Hire'!N27</f>
        <v>1</v>
      </c>
      <c r="K14" s="389">
        <f>'New Hire'!P27</f>
        <v>1</v>
      </c>
      <c r="L14" s="15"/>
      <c r="M14" s="20"/>
      <c r="N14" s="20"/>
      <c r="O14" s="20"/>
      <c r="P14" s="20"/>
      <c r="Q14" s="20"/>
      <c r="R14" s="23"/>
      <c r="S14" s="19"/>
      <c r="T14" s="19"/>
      <c r="U14" s="19"/>
      <c r="V14" s="19"/>
      <c r="W14" s="19"/>
      <c r="X14" s="19"/>
      <c r="Y14" s="31"/>
    </row>
    <row r="15" spans="1:25">
      <c r="A15" s="417" t="s">
        <v>479</v>
      </c>
      <c r="B15" s="332">
        <f>NETWORKDAYS(B10,$A$6)</f>
        <v>23</v>
      </c>
      <c r="C15" s="332">
        <f t="shared" ref="C15:K15" si="0">NETWORKDAYS(C10,$A$6)</f>
        <v>23</v>
      </c>
      <c r="D15" s="332">
        <f t="shared" si="0"/>
        <v>23</v>
      </c>
      <c r="E15" s="332">
        <f t="shared" si="0"/>
        <v>23</v>
      </c>
      <c r="F15" s="332">
        <f t="shared" si="0"/>
        <v>23</v>
      </c>
      <c r="G15" s="332">
        <f>NETWORKDAYS(G11,$A$6)</f>
        <v>13</v>
      </c>
      <c r="H15" s="332">
        <f t="shared" si="0"/>
        <v>23</v>
      </c>
      <c r="I15" s="332">
        <f t="shared" si="0"/>
        <v>23</v>
      </c>
      <c r="J15" s="332">
        <f t="shared" si="0"/>
        <v>23</v>
      </c>
      <c r="K15" s="389">
        <f t="shared" si="0"/>
        <v>23</v>
      </c>
      <c r="L15" s="15"/>
      <c r="M15" s="20"/>
      <c r="N15" s="20"/>
      <c r="O15" s="20"/>
      <c r="P15" s="20"/>
      <c r="Q15" s="20"/>
      <c r="R15" s="23"/>
      <c r="S15" s="19"/>
      <c r="T15" s="19"/>
      <c r="U15" s="19"/>
      <c r="V15" s="19"/>
      <c r="W15" s="19"/>
      <c r="X15" s="19"/>
      <c r="Y15" s="31"/>
    </row>
    <row r="16" spans="1:25">
      <c r="A16" s="417" t="s">
        <v>793</v>
      </c>
      <c r="B16" s="332">
        <f>B15</f>
        <v>23</v>
      </c>
      <c r="C16" s="332">
        <f t="shared" ref="C16:K16" si="1">C15</f>
        <v>23</v>
      </c>
      <c r="D16" s="332">
        <f t="shared" si="1"/>
        <v>23</v>
      </c>
      <c r="E16" s="332">
        <f t="shared" si="1"/>
        <v>23</v>
      </c>
      <c r="F16" s="332">
        <f t="shared" si="1"/>
        <v>23</v>
      </c>
      <c r="G16" s="332">
        <f t="shared" si="1"/>
        <v>13</v>
      </c>
      <c r="H16" s="332">
        <f t="shared" si="1"/>
        <v>23</v>
      </c>
      <c r="I16" s="332">
        <f t="shared" si="1"/>
        <v>23</v>
      </c>
      <c r="J16" s="332">
        <f t="shared" si="1"/>
        <v>23</v>
      </c>
      <c r="K16" s="389">
        <f t="shared" si="1"/>
        <v>23</v>
      </c>
      <c r="L16" s="15"/>
      <c r="M16" s="20"/>
      <c r="N16" s="20"/>
      <c r="O16" s="20"/>
      <c r="P16" s="20"/>
      <c r="Q16" s="20"/>
      <c r="R16" s="23"/>
      <c r="S16" s="19"/>
      <c r="T16" s="19"/>
      <c r="U16" s="19"/>
      <c r="V16" s="19"/>
      <c r="W16" s="19"/>
      <c r="X16" s="19"/>
      <c r="Y16" s="31"/>
    </row>
    <row r="17" spans="1:25">
      <c r="A17" s="417" t="s">
        <v>632</v>
      </c>
      <c r="B17" s="332">
        <f>NETWORKDAYS(EOMONTH($A$6,-1)+1,EOMONTH($A$6,0))</f>
        <v>23</v>
      </c>
      <c r="C17" s="332">
        <f t="shared" ref="C17:K17" si="2">NETWORKDAYS(EOMONTH($A$6,-1)+1,EOMONTH($A$6,0))</f>
        <v>23</v>
      </c>
      <c r="D17" s="332">
        <f t="shared" si="2"/>
        <v>23</v>
      </c>
      <c r="E17" s="332">
        <f t="shared" si="2"/>
        <v>23</v>
      </c>
      <c r="F17" s="332">
        <f t="shared" si="2"/>
        <v>23</v>
      </c>
      <c r="G17" s="332">
        <f t="shared" si="2"/>
        <v>23</v>
      </c>
      <c r="H17" s="332">
        <f t="shared" si="2"/>
        <v>23</v>
      </c>
      <c r="I17" s="332">
        <f t="shared" si="2"/>
        <v>23</v>
      </c>
      <c r="J17" s="332">
        <f t="shared" si="2"/>
        <v>23</v>
      </c>
      <c r="K17" s="389">
        <f t="shared" si="2"/>
        <v>23</v>
      </c>
      <c r="L17" s="15"/>
      <c r="M17" s="20"/>
      <c r="N17" s="20"/>
      <c r="O17" s="20"/>
      <c r="P17" s="20"/>
      <c r="Q17" s="20"/>
      <c r="R17" s="23"/>
      <c r="S17" s="19"/>
      <c r="T17" s="19"/>
      <c r="U17" s="19"/>
      <c r="V17" s="19"/>
      <c r="W17" s="19"/>
      <c r="X17" s="19"/>
      <c r="Y17" s="31"/>
    </row>
    <row r="18" spans="1:25">
      <c r="A18" s="417" t="s">
        <v>511</v>
      </c>
      <c r="B18" s="329">
        <f>_xlfn.DAYS($A$6,B10)+1</f>
        <v>31</v>
      </c>
      <c r="C18" s="329">
        <f t="shared" ref="C18:K18" si="3">_xlfn.DAYS($A$6,C10)+1</f>
        <v>31</v>
      </c>
      <c r="D18" s="329">
        <f t="shared" si="3"/>
        <v>31</v>
      </c>
      <c r="E18" s="329">
        <f t="shared" si="3"/>
        <v>31</v>
      </c>
      <c r="F18" s="329">
        <f t="shared" si="3"/>
        <v>31</v>
      </c>
      <c r="G18" s="329">
        <f>_xlfn.DAYS($A$6,G11)+1</f>
        <v>17</v>
      </c>
      <c r="H18" s="329">
        <f t="shared" si="3"/>
        <v>31</v>
      </c>
      <c r="I18" s="329">
        <f t="shared" si="3"/>
        <v>31</v>
      </c>
      <c r="J18" s="329">
        <f t="shared" si="3"/>
        <v>31</v>
      </c>
      <c r="K18" s="391">
        <f t="shared" si="3"/>
        <v>31</v>
      </c>
      <c r="L18" s="15"/>
      <c r="M18" s="20"/>
      <c r="N18" s="20"/>
      <c r="O18" s="20"/>
      <c r="P18" s="20"/>
      <c r="Q18" s="20"/>
      <c r="R18" s="23"/>
      <c r="S18" s="19"/>
      <c r="T18" s="19"/>
      <c r="U18" s="19"/>
      <c r="V18" s="19"/>
      <c r="W18" s="19"/>
      <c r="X18" s="19"/>
      <c r="Y18" s="31"/>
    </row>
    <row r="19" spans="1:25">
      <c r="A19" s="98" t="s">
        <v>531</v>
      </c>
      <c r="B19" s="330">
        <f>DATEDIF('New Hire'!C41,$A$6,"Y")</f>
        <v>10</v>
      </c>
      <c r="C19" s="331">
        <f>DATEDIF('New Hire'!E41,$A$6,"Y")</f>
        <v>1</v>
      </c>
      <c r="D19" s="331">
        <f>DATEDIF('New Hire'!G41,$A$6,"Y")</f>
        <v>10</v>
      </c>
      <c r="E19" s="331">
        <f>DATEDIF('New Hire'!H41,$A$6,"Y")</f>
        <v>1</v>
      </c>
      <c r="F19" s="331">
        <f>DATEDIF('New Hire'!J41,$A$6,"Y")</f>
        <v>1</v>
      </c>
      <c r="G19" s="331">
        <f>DATEDIF('New Hire'!K41,$A$6,"Y")</f>
        <v>1</v>
      </c>
      <c r="H19" s="331">
        <f>DATEDIF('New Hire'!L41,$A$6,"Y")</f>
        <v>10</v>
      </c>
      <c r="I19" s="331">
        <f>DATEDIF('New Hire'!M41,$A$6,"Y")</f>
        <v>5</v>
      </c>
      <c r="J19" s="331">
        <f>DATEDIF('New Hire'!N41,$A$6,"Y")</f>
        <v>1</v>
      </c>
      <c r="K19" s="387">
        <f>DATEDIF('New Hire'!P41,$A$6,"Y")</f>
        <v>1</v>
      </c>
      <c r="L19" s="15"/>
      <c r="M19" s="20"/>
      <c r="N19" s="20"/>
      <c r="O19" s="20"/>
      <c r="P19" s="20"/>
      <c r="Q19" s="20"/>
      <c r="R19" s="23"/>
      <c r="S19" s="19"/>
      <c r="T19" s="19"/>
      <c r="U19" s="19"/>
      <c r="V19" s="19"/>
      <c r="W19" s="19"/>
      <c r="X19" s="19"/>
      <c r="Y19" s="31"/>
    </row>
    <row r="20" spans="1:25">
      <c r="A20" s="98" t="s">
        <v>563</v>
      </c>
      <c r="B20" s="330" t="str">
        <f>'New Hire'!C52</f>
        <v>A</v>
      </c>
      <c r="C20" s="331" t="str">
        <f>'New Hire'!E52</f>
        <v>A</v>
      </c>
      <c r="D20" s="331" t="str">
        <f>'New Hire'!G52</f>
        <v>B</v>
      </c>
      <c r="E20" s="331" t="str">
        <f>'New Hire'!H52</f>
        <v>C</v>
      </c>
      <c r="F20" s="331" t="str">
        <f>'New Hire'!J52</f>
        <v>D</v>
      </c>
      <c r="G20" s="331" t="str">
        <f>'New Hire'!K52</f>
        <v>A</v>
      </c>
      <c r="H20" s="331" t="str">
        <f>'New Hire'!L52</f>
        <v>A</v>
      </c>
      <c r="I20" s="331" t="s">
        <v>1161</v>
      </c>
      <c r="J20" s="331" t="str">
        <f>'New Hire'!N52</f>
        <v>A</v>
      </c>
      <c r="K20" s="387" t="str">
        <f>'New Hire'!P52</f>
        <v>B</v>
      </c>
      <c r="L20" s="15"/>
      <c r="M20" s="20"/>
      <c r="N20" s="20"/>
      <c r="O20" s="20"/>
      <c r="P20" s="20"/>
      <c r="Q20" s="20"/>
      <c r="R20" s="23"/>
      <c r="S20" s="19"/>
      <c r="T20" s="19"/>
      <c r="U20" s="19"/>
      <c r="V20" s="19"/>
      <c r="W20" s="19"/>
      <c r="X20" s="19"/>
      <c r="Y20" s="31"/>
    </row>
    <row r="21" spans="1:25">
      <c r="A21" s="97" t="s">
        <v>107</v>
      </c>
      <c r="B21" s="90">
        <v>1</v>
      </c>
      <c r="C21" s="88">
        <v>1</v>
      </c>
      <c r="D21" s="88">
        <v>0</v>
      </c>
      <c r="E21" s="88">
        <v>0</v>
      </c>
      <c r="F21" s="88">
        <v>0</v>
      </c>
      <c r="G21" s="88">
        <v>0</v>
      </c>
      <c r="H21" s="88">
        <v>0</v>
      </c>
      <c r="I21" s="88">
        <v>0</v>
      </c>
      <c r="J21" s="88">
        <v>0</v>
      </c>
      <c r="K21" s="392">
        <v>0</v>
      </c>
      <c r="L21" s="15"/>
      <c r="M21" s="20"/>
      <c r="N21" s="20"/>
      <c r="O21" s="20"/>
      <c r="P21" s="20"/>
      <c r="Q21" s="20"/>
      <c r="R21" s="23"/>
      <c r="S21" s="19"/>
      <c r="T21" s="19"/>
      <c r="U21" s="19"/>
      <c r="V21" s="19"/>
      <c r="W21" s="19"/>
      <c r="X21" s="19"/>
      <c r="Y21" s="31"/>
    </row>
    <row r="22" spans="1:25">
      <c r="A22" s="96" t="s">
        <v>113</v>
      </c>
      <c r="B22" s="319">
        <f>3600000*B21</f>
        <v>3600000</v>
      </c>
      <c r="C22" s="89">
        <f t="shared" ref="C22:K22" si="4">3600000*C21</f>
        <v>3600000</v>
      </c>
      <c r="D22" s="89">
        <f t="shared" si="4"/>
        <v>0</v>
      </c>
      <c r="E22" s="89">
        <f t="shared" si="4"/>
        <v>0</v>
      </c>
      <c r="F22" s="89">
        <f t="shared" si="4"/>
        <v>0</v>
      </c>
      <c r="G22" s="89">
        <f t="shared" si="4"/>
        <v>0</v>
      </c>
      <c r="H22" s="89">
        <f t="shared" si="4"/>
        <v>0</v>
      </c>
      <c r="I22" s="89">
        <f t="shared" si="4"/>
        <v>0</v>
      </c>
      <c r="J22" s="89">
        <f t="shared" si="4"/>
        <v>0</v>
      </c>
      <c r="K22" s="393">
        <f t="shared" si="4"/>
        <v>0</v>
      </c>
      <c r="L22" s="15"/>
      <c r="M22" s="20"/>
      <c r="N22" s="20"/>
      <c r="O22" s="20"/>
      <c r="P22" s="20"/>
      <c r="Q22" s="20"/>
      <c r="R22" s="23"/>
      <c r="S22" s="19"/>
      <c r="T22" s="19"/>
      <c r="U22" s="19"/>
      <c r="V22" s="19"/>
      <c r="W22" s="19"/>
      <c r="X22" s="19"/>
      <c r="Y22" s="31"/>
    </row>
    <row r="23" spans="1:25" ht="15.6">
      <c r="A23" s="96" t="s">
        <v>114</v>
      </c>
      <c r="B23" s="320">
        <v>9000000</v>
      </c>
      <c r="C23" s="89">
        <v>9000000</v>
      </c>
      <c r="D23" s="89">
        <v>9000000</v>
      </c>
      <c r="E23" s="89">
        <v>9000000</v>
      </c>
      <c r="F23" s="89">
        <v>9000000</v>
      </c>
      <c r="G23" s="89">
        <v>9000000</v>
      </c>
      <c r="H23" s="89">
        <v>9000000</v>
      </c>
      <c r="I23" s="89">
        <v>9000000</v>
      </c>
      <c r="J23" s="89">
        <v>9000000</v>
      </c>
      <c r="K23" s="393">
        <v>9000000</v>
      </c>
      <c r="L23" s="15"/>
      <c r="M23" s="66"/>
      <c r="N23" s="66"/>
      <c r="O23" s="66"/>
      <c r="P23" s="66"/>
      <c r="Q23" s="66"/>
      <c r="R23" s="40"/>
      <c r="S23" s="41"/>
      <c r="T23" s="19"/>
      <c r="U23" s="19"/>
      <c r="V23" s="19"/>
      <c r="W23" s="19"/>
      <c r="X23" s="16"/>
      <c r="Y23" s="17"/>
    </row>
    <row r="24" spans="1:25" ht="15.6">
      <c r="A24" s="406" t="s">
        <v>53</v>
      </c>
      <c r="B24" s="64"/>
      <c r="C24" s="65"/>
      <c r="D24" s="65"/>
      <c r="E24" s="65"/>
      <c r="F24" s="65"/>
      <c r="G24" s="65"/>
      <c r="H24" s="66"/>
      <c r="I24" s="66"/>
      <c r="J24" s="66"/>
      <c r="K24" s="376"/>
      <c r="L24" s="376"/>
      <c r="M24" s="66"/>
      <c r="N24" s="66"/>
      <c r="O24" s="66"/>
      <c r="P24" s="66"/>
      <c r="Q24" s="66"/>
      <c r="R24" s="50"/>
      <c r="S24" s="44"/>
      <c r="T24" s="44"/>
      <c r="U24" s="44"/>
      <c r="V24" s="44"/>
      <c r="W24" s="44"/>
      <c r="X24" s="44"/>
      <c r="Y24" s="51"/>
    </row>
    <row r="25" spans="1:25">
      <c r="A25" s="407" t="s">
        <v>55</v>
      </c>
      <c r="B25" s="64"/>
      <c r="C25" s="65"/>
      <c r="D25" s="65"/>
      <c r="E25" s="65"/>
      <c r="F25" s="65"/>
      <c r="G25" s="65"/>
      <c r="H25" s="66"/>
      <c r="I25" s="66"/>
      <c r="J25" s="66"/>
      <c r="K25" s="376"/>
      <c r="L25" s="376"/>
      <c r="M25" s="66"/>
      <c r="N25" s="66"/>
      <c r="O25" s="66"/>
      <c r="P25" s="66"/>
      <c r="Q25" s="66"/>
      <c r="R25" s="112" t="s">
        <v>57</v>
      </c>
      <c r="S25" s="113" t="s">
        <v>67</v>
      </c>
      <c r="T25" s="113" t="s">
        <v>69</v>
      </c>
      <c r="U25" s="113" t="s">
        <v>70</v>
      </c>
      <c r="V25" s="113" t="s">
        <v>56</v>
      </c>
      <c r="W25" s="113" t="s">
        <v>54</v>
      </c>
      <c r="X25" s="113" t="s">
        <v>58</v>
      </c>
      <c r="Y25" s="114" t="s">
        <v>59</v>
      </c>
    </row>
    <row r="26" spans="1:25">
      <c r="A26" s="436" t="s">
        <v>477</v>
      </c>
      <c r="B26" s="326">
        <f t="shared" ref="B26:H26" si="5">IF(OR(B20="A",B20="B"),IF(B12&lt;&gt;"C",ROUND(B125*B80,0),0),IF(B12&lt;&gt;"C",ROUND(B138*$B$4,0),0))</f>
        <v>8000000</v>
      </c>
      <c r="C26" s="326">
        <f t="shared" si="5"/>
        <v>11000000</v>
      </c>
      <c r="D26" s="326">
        <f t="shared" si="5"/>
        <v>16000000</v>
      </c>
      <c r="E26" s="326">
        <f t="shared" si="5"/>
        <v>0</v>
      </c>
      <c r="F26" s="326">
        <f t="shared" si="5"/>
        <v>98280000</v>
      </c>
      <c r="G26" s="326">
        <f t="shared" si="5"/>
        <v>31086957</v>
      </c>
      <c r="H26" s="326">
        <f t="shared" si="5"/>
        <v>10000000</v>
      </c>
      <c r="I26" s="326">
        <f>ROUND(I125*I80,0)</f>
        <v>11500000</v>
      </c>
      <c r="J26" s="326">
        <f>IF(OR(J20="A",J20="B"),IF(J12&lt;&gt;"C",ROUND(J125*J80,0),0),IF(J12&lt;&gt;"C",ROUND(J138*$B$4,0),0))</f>
        <v>7000000</v>
      </c>
      <c r="K26" s="394">
        <f>IF(OR(K20="A",K20="B"),IF(K12&lt;&gt;"C",ROUND(K125*K80,0),0),IF(K12&lt;&gt;"C",ROUND(K138*$B$4,0),0))</f>
        <v>0</v>
      </c>
      <c r="L26" s="349">
        <f t="shared" ref="L26:L33" si="6">SUM(B26:K26)</f>
        <v>192866957</v>
      </c>
      <c r="M26" s="89" t="s">
        <v>523</v>
      </c>
      <c r="N26" s="89" t="s">
        <v>523</v>
      </c>
      <c r="O26" s="89" t="s">
        <v>523</v>
      </c>
      <c r="P26" s="89" t="s">
        <v>523</v>
      </c>
      <c r="Q26" s="89" t="s">
        <v>523</v>
      </c>
      <c r="R26" s="350" t="s">
        <v>2</v>
      </c>
      <c r="S26" s="351">
        <v>91999901</v>
      </c>
      <c r="T26" s="352" t="s">
        <v>505</v>
      </c>
      <c r="U26" s="352" t="s">
        <v>506</v>
      </c>
      <c r="V26" s="353" t="s">
        <v>507</v>
      </c>
      <c r="W26" s="354">
        <v>8000000</v>
      </c>
      <c r="X26" s="352"/>
      <c r="Y26" s="355"/>
    </row>
    <row r="27" spans="1:25">
      <c r="A27" s="452" t="s">
        <v>629</v>
      </c>
      <c r="B27" s="431">
        <f>B125-'UAT12-Dec'!B28</f>
        <v>1000000</v>
      </c>
      <c r="C27" s="431"/>
      <c r="D27" s="431"/>
      <c r="E27" s="431"/>
      <c r="F27" s="431"/>
      <c r="G27" s="431"/>
      <c r="H27" s="431"/>
      <c r="I27" s="431"/>
      <c r="J27" s="431">
        <f>ROUND(J125*12/22,0)-'UAT12-Dec'!K28</f>
        <v>-3181818</v>
      </c>
      <c r="K27" s="493"/>
      <c r="L27" s="453">
        <f t="shared" si="6"/>
        <v>-2181818</v>
      </c>
      <c r="M27" s="428" t="s">
        <v>523</v>
      </c>
      <c r="N27" s="428" t="s">
        <v>523</v>
      </c>
      <c r="O27" s="428" t="s">
        <v>523</v>
      </c>
      <c r="P27" s="428" t="s">
        <v>523</v>
      </c>
      <c r="Q27" s="428" t="s">
        <v>523</v>
      </c>
      <c r="R27" s="350" t="s">
        <v>2</v>
      </c>
      <c r="S27" s="351">
        <v>91999902</v>
      </c>
      <c r="T27" s="352" t="s">
        <v>505</v>
      </c>
      <c r="U27" s="352" t="s">
        <v>506</v>
      </c>
      <c r="V27" s="353" t="s">
        <v>507</v>
      </c>
      <c r="W27" s="354">
        <v>8000000</v>
      </c>
      <c r="X27" s="352"/>
      <c r="Y27" s="355"/>
    </row>
    <row r="28" spans="1:25">
      <c r="A28" s="442" t="s">
        <v>494</v>
      </c>
      <c r="B28" s="326">
        <f t="shared" ref="B28:K28" si="7">IF(OR(B20="A",B20="B"),ROUND(B127*B80,0),ROUND(B127*B80*$B$4,0))</f>
        <v>800000</v>
      </c>
      <c r="C28" s="326">
        <f t="shared" si="7"/>
        <v>1100000</v>
      </c>
      <c r="D28" s="326">
        <f t="shared" si="7"/>
        <v>0</v>
      </c>
      <c r="E28" s="326">
        <f t="shared" si="7"/>
        <v>0</v>
      </c>
      <c r="F28" s="326">
        <f t="shared" si="7"/>
        <v>0</v>
      </c>
      <c r="G28" s="326">
        <f t="shared" si="7"/>
        <v>3108696</v>
      </c>
      <c r="H28" s="326">
        <f t="shared" si="7"/>
        <v>1000000</v>
      </c>
      <c r="I28" s="326">
        <f t="shared" si="7"/>
        <v>0</v>
      </c>
      <c r="J28" s="326">
        <f t="shared" si="7"/>
        <v>1400000</v>
      </c>
      <c r="K28" s="394">
        <f t="shared" si="7"/>
        <v>0</v>
      </c>
      <c r="L28" s="349">
        <f t="shared" si="6"/>
        <v>7408696</v>
      </c>
      <c r="M28" s="373" t="s">
        <v>523</v>
      </c>
      <c r="N28" s="373" t="s">
        <v>523</v>
      </c>
      <c r="O28" s="373" t="s">
        <v>523</v>
      </c>
      <c r="P28" s="373" t="s">
        <v>523</v>
      </c>
      <c r="Q28" s="89" t="s">
        <v>523</v>
      </c>
      <c r="R28" s="350" t="s">
        <v>2</v>
      </c>
      <c r="S28" s="351">
        <v>91999904</v>
      </c>
      <c r="T28" s="352" t="s">
        <v>509</v>
      </c>
      <c r="U28" s="352" t="s">
        <v>506</v>
      </c>
      <c r="V28" s="353" t="s">
        <v>507</v>
      </c>
      <c r="W28" s="354">
        <v>8000000</v>
      </c>
      <c r="X28" s="352"/>
      <c r="Y28" s="355"/>
    </row>
    <row r="29" spans="1:25">
      <c r="A29" s="454" t="s">
        <v>1155</v>
      </c>
      <c r="B29" s="431">
        <f>B127-'UAT12-Dec'!B30</f>
        <v>100000</v>
      </c>
      <c r="C29" s="431"/>
      <c r="D29" s="431"/>
      <c r="E29" s="431"/>
      <c r="F29" s="431"/>
      <c r="G29" s="431"/>
      <c r="H29" s="431"/>
      <c r="I29" s="431"/>
      <c r="J29" s="431">
        <f>ROUND(J127*12/22,0)-'UAT12-Dec'!K30</f>
        <v>-636364</v>
      </c>
      <c r="K29" s="493"/>
      <c r="L29" s="453">
        <f t="shared" si="6"/>
        <v>-536364</v>
      </c>
      <c r="M29" s="437" t="s">
        <v>523</v>
      </c>
      <c r="N29" s="437" t="s">
        <v>523</v>
      </c>
      <c r="O29" s="437" t="s">
        <v>523</v>
      </c>
      <c r="P29" s="437" t="s">
        <v>523</v>
      </c>
      <c r="Q29" s="428" t="s">
        <v>523</v>
      </c>
      <c r="R29" s="350" t="s">
        <v>2</v>
      </c>
      <c r="S29" s="351">
        <v>91999905</v>
      </c>
      <c r="T29" s="352" t="s">
        <v>505</v>
      </c>
      <c r="U29" s="352" t="s">
        <v>506</v>
      </c>
      <c r="V29" s="353" t="s">
        <v>507</v>
      </c>
      <c r="W29" s="354">
        <v>8000000</v>
      </c>
      <c r="X29" s="352"/>
      <c r="Y29" s="355"/>
    </row>
    <row r="30" spans="1:25">
      <c r="A30" s="442" t="s">
        <v>566</v>
      </c>
      <c r="B30" s="326">
        <f t="shared" ref="B30:K30" si="8">IF(OR(B20="A",B20="B"),ROUND(B128*B80,0),ROUND(B128*B80*$B$4,0))</f>
        <v>1600000</v>
      </c>
      <c r="C30" s="326">
        <f t="shared" si="8"/>
        <v>2350000</v>
      </c>
      <c r="D30" s="326">
        <f t="shared" si="8"/>
        <v>0</v>
      </c>
      <c r="E30" s="326">
        <f t="shared" si="8"/>
        <v>0</v>
      </c>
      <c r="F30" s="326">
        <f t="shared" si="8"/>
        <v>0</v>
      </c>
      <c r="G30" s="326">
        <f t="shared" si="8"/>
        <v>6217391</v>
      </c>
      <c r="H30" s="326">
        <f t="shared" si="8"/>
        <v>2000000</v>
      </c>
      <c r="I30" s="326">
        <f t="shared" si="8"/>
        <v>0</v>
      </c>
      <c r="J30" s="326">
        <f t="shared" si="8"/>
        <v>2100000</v>
      </c>
      <c r="K30" s="394">
        <f t="shared" si="8"/>
        <v>0</v>
      </c>
      <c r="L30" s="349">
        <f t="shared" si="6"/>
        <v>14267391</v>
      </c>
      <c r="M30" s="373" t="s">
        <v>523</v>
      </c>
      <c r="N30" s="373" t="s">
        <v>523</v>
      </c>
      <c r="O30" s="373" t="s">
        <v>523</v>
      </c>
      <c r="P30" s="373" t="s">
        <v>523</v>
      </c>
      <c r="Q30" s="89" t="s">
        <v>523</v>
      </c>
      <c r="R30" s="350" t="s">
        <v>2</v>
      </c>
      <c r="S30" s="351">
        <v>91999906</v>
      </c>
      <c r="T30" s="352" t="s">
        <v>505</v>
      </c>
      <c r="U30" s="352" t="s">
        <v>506</v>
      </c>
      <c r="V30" s="353" t="s">
        <v>507</v>
      </c>
      <c r="W30" s="354">
        <v>8000000</v>
      </c>
      <c r="X30" s="352"/>
      <c r="Y30" s="355"/>
    </row>
    <row r="31" spans="1:25">
      <c r="A31" s="454" t="s">
        <v>735</v>
      </c>
      <c r="B31" s="431">
        <f>B128-'UAT12-Dec'!B31</f>
        <v>200000</v>
      </c>
      <c r="C31" s="431"/>
      <c r="D31" s="431"/>
      <c r="E31" s="431"/>
      <c r="F31" s="431"/>
      <c r="G31" s="431"/>
      <c r="H31" s="431"/>
      <c r="I31" s="431"/>
      <c r="J31" s="431">
        <f>ROUND(J128*12/22,0)-'UAT12-Dec'!K31</f>
        <v>-954545</v>
      </c>
      <c r="K31" s="493"/>
      <c r="L31" s="453">
        <f t="shared" si="6"/>
        <v>-754545</v>
      </c>
      <c r="M31" s="437" t="s">
        <v>523</v>
      </c>
      <c r="N31" s="437" t="s">
        <v>523</v>
      </c>
      <c r="O31" s="437" t="s">
        <v>523</v>
      </c>
      <c r="P31" s="437" t="s">
        <v>523</v>
      </c>
      <c r="Q31" s="428" t="s">
        <v>523</v>
      </c>
      <c r="R31" s="350" t="s">
        <v>2</v>
      </c>
      <c r="S31" s="351">
        <v>91999901</v>
      </c>
      <c r="T31" s="352" t="s">
        <v>505</v>
      </c>
      <c r="U31" s="352" t="s">
        <v>506</v>
      </c>
      <c r="V31" s="353" t="s">
        <v>535</v>
      </c>
      <c r="W31" s="354">
        <v>7000000</v>
      </c>
      <c r="X31" s="352"/>
      <c r="Y31" s="355"/>
    </row>
    <row r="32" spans="1:25">
      <c r="A32" s="436" t="s">
        <v>426</v>
      </c>
      <c r="B32" s="326"/>
      <c r="C32" s="326"/>
      <c r="D32" s="326"/>
      <c r="E32" s="326">
        <f>ROUND(E126*B4,0)*Y50+ROUND(E126*B4,0)*Y51</f>
        <v>31500000</v>
      </c>
      <c r="F32" s="326"/>
      <c r="G32" s="326"/>
      <c r="H32" s="334"/>
      <c r="I32" s="334"/>
      <c r="J32" s="334"/>
      <c r="K32" s="395">
        <f>ROUND(K126*Y52,0)+ROUND(K126*Y53,0)</f>
        <v>4500000</v>
      </c>
      <c r="L32" s="349">
        <f t="shared" si="6"/>
        <v>36000000</v>
      </c>
      <c r="M32" s="373" t="s">
        <v>523</v>
      </c>
      <c r="N32" s="373" t="s">
        <v>523</v>
      </c>
      <c r="O32" s="373"/>
      <c r="P32" s="373"/>
      <c r="Q32" s="373"/>
      <c r="R32" s="350" t="s">
        <v>2</v>
      </c>
      <c r="S32" s="351">
        <v>91999902</v>
      </c>
      <c r="T32" s="352" t="s">
        <v>505</v>
      </c>
      <c r="U32" s="352" t="s">
        <v>506</v>
      </c>
      <c r="V32" s="353" t="s">
        <v>535</v>
      </c>
      <c r="W32" s="354">
        <v>7000000</v>
      </c>
      <c r="X32" s="352"/>
      <c r="Y32" s="355"/>
    </row>
    <row r="33" spans="1:28">
      <c r="A33" s="554" t="s">
        <v>871</v>
      </c>
      <c r="B33" s="561">
        <f>'UAT12-Dec'!B65+B63</f>
        <v>6114942</v>
      </c>
      <c r="C33" s="362">
        <f>'UAT12-Dec'!C65</f>
        <v>0</v>
      </c>
      <c r="D33" s="362">
        <f>'UAT12-Dec'!E65</f>
        <v>0</v>
      </c>
      <c r="E33" s="362">
        <f>'UAT12-Dec'!F65</f>
        <v>7157098</v>
      </c>
      <c r="F33" s="362">
        <f>'UAT12-Dec'!G65</f>
        <v>0</v>
      </c>
      <c r="G33" s="362">
        <f>'UAT12-Dec'!H65+IF(OR(G12="1",G12="P"),ROUND(G125*G81,0),0)</f>
        <v>31193608</v>
      </c>
      <c r="H33" s="362">
        <f>'UAT12-Dec'!I65</f>
        <v>8291956</v>
      </c>
      <c r="I33" s="362">
        <f>'UAT12-Dec'!J65</f>
        <v>43323875</v>
      </c>
      <c r="J33" s="362">
        <f>'UAT12-Dec'!K65</f>
        <v>0</v>
      </c>
      <c r="K33" s="555">
        <f>'UAT12-Dec'!L65</f>
        <v>2258622</v>
      </c>
      <c r="L33" s="521">
        <f t="shared" si="6"/>
        <v>98340101</v>
      </c>
      <c r="M33" s="522" t="s">
        <v>523</v>
      </c>
      <c r="N33" s="522" t="s">
        <v>523</v>
      </c>
      <c r="O33" s="556"/>
      <c r="P33" s="556"/>
      <c r="Q33" s="556"/>
      <c r="R33" s="350" t="s">
        <v>2</v>
      </c>
      <c r="S33" s="351">
        <v>91999904</v>
      </c>
      <c r="T33" s="352" t="s">
        <v>509</v>
      </c>
      <c r="U33" s="352" t="s">
        <v>506</v>
      </c>
      <c r="V33" s="353" t="s">
        <v>535</v>
      </c>
      <c r="W33" s="354">
        <v>7000000</v>
      </c>
      <c r="X33" s="352"/>
      <c r="Y33" s="355"/>
    </row>
    <row r="34" spans="1:28">
      <c r="A34" s="408"/>
      <c r="B34" s="443"/>
      <c r="C34" s="443"/>
      <c r="D34" s="443"/>
      <c r="E34" s="443"/>
      <c r="F34" s="443"/>
      <c r="G34" s="443"/>
      <c r="H34" s="443"/>
      <c r="I34" s="443"/>
      <c r="J34" s="443"/>
      <c r="K34" s="395"/>
      <c r="L34" s="521"/>
      <c r="M34" s="522"/>
      <c r="N34" s="522"/>
      <c r="O34" s="522"/>
      <c r="P34" s="522"/>
      <c r="Q34" s="522"/>
      <c r="R34" s="350" t="s">
        <v>2</v>
      </c>
      <c r="S34" s="351">
        <v>91999905</v>
      </c>
      <c r="T34" s="352" t="s">
        <v>505</v>
      </c>
      <c r="U34" s="352" t="s">
        <v>506</v>
      </c>
      <c r="V34" s="353" t="s">
        <v>535</v>
      </c>
      <c r="W34" s="354">
        <v>7000000</v>
      </c>
      <c r="X34" s="352"/>
      <c r="Y34" s="355"/>
    </row>
    <row r="35" spans="1:28">
      <c r="A35" s="510" t="s">
        <v>569</v>
      </c>
      <c r="B35" s="326"/>
      <c r="C35" s="326"/>
      <c r="D35" s="326"/>
      <c r="E35" s="326"/>
      <c r="F35" s="326"/>
      <c r="G35" s="326"/>
      <c r="H35" s="334"/>
      <c r="I35" s="334"/>
      <c r="J35" s="334"/>
      <c r="K35" s="395"/>
      <c r="L35" s="349"/>
      <c r="M35" s="522"/>
      <c r="N35" s="522"/>
      <c r="O35" s="522"/>
      <c r="P35" s="522"/>
      <c r="Q35" s="522"/>
      <c r="R35" s="350" t="s">
        <v>2</v>
      </c>
      <c r="S35" s="351">
        <v>91999906</v>
      </c>
      <c r="T35" s="352" t="s">
        <v>505</v>
      </c>
      <c r="U35" s="352" t="s">
        <v>506</v>
      </c>
      <c r="V35" s="353" t="s">
        <v>535</v>
      </c>
      <c r="W35" s="354">
        <v>7000000</v>
      </c>
      <c r="X35" s="352"/>
      <c r="Y35" s="355"/>
    </row>
    <row r="36" spans="1:28">
      <c r="A36" s="436" t="s">
        <v>510</v>
      </c>
      <c r="B36" s="326">
        <f t="shared" ref="B36:K36" si="9">IF(OR(B20="A",B20="B"),B83,ROUND(B83*B14%,0))</f>
        <v>677596</v>
      </c>
      <c r="C36" s="326">
        <f t="shared" si="9"/>
        <v>0</v>
      </c>
      <c r="D36" s="326">
        <f t="shared" si="9"/>
        <v>677596</v>
      </c>
      <c r="E36" s="326">
        <f t="shared" si="9"/>
        <v>6776</v>
      </c>
      <c r="F36" s="326">
        <f t="shared" si="9"/>
        <v>0</v>
      </c>
      <c r="G36" s="326">
        <f t="shared" si="9"/>
        <v>0</v>
      </c>
      <c r="H36" s="326">
        <f t="shared" si="9"/>
        <v>0</v>
      </c>
      <c r="I36" s="326">
        <f t="shared" si="9"/>
        <v>0</v>
      </c>
      <c r="J36" s="326">
        <f t="shared" si="9"/>
        <v>0</v>
      </c>
      <c r="K36" s="394">
        <f t="shared" si="9"/>
        <v>0</v>
      </c>
      <c r="L36" s="340">
        <f>SUM(B36:K36)</f>
        <v>1361968</v>
      </c>
      <c r="M36" s="373" t="s">
        <v>523</v>
      </c>
      <c r="N36" s="522"/>
      <c r="O36" s="522"/>
      <c r="P36" s="522"/>
      <c r="Q36" s="522"/>
      <c r="R36" s="350" t="s">
        <v>2</v>
      </c>
      <c r="S36" s="351">
        <v>91999907</v>
      </c>
      <c r="T36" s="352" t="s">
        <v>596</v>
      </c>
      <c r="U36" s="352" t="s">
        <v>506</v>
      </c>
      <c r="V36" s="353">
        <v>7065</v>
      </c>
      <c r="W36" s="354">
        <v>100</v>
      </c>
      <c r="X36" s="438" t="s">
        <v>539</v>
      </c>
      <c r="Y36" s="439"/>
      <c r="AA36" s="569"/>
      <c r="AB36" s="569"/>
    </row>
    <row r="37" spans="1:28">
      <c r="A37" s="436" t="s">
        <v>532</v>
      </c>
      <c r="B37" s="326">
        <f t="shared" ref="B37:K37" si="10">IF(OR(B20="A",B20="B"),ROUND(2369796/366*B18,0),ROUND(ROUND(2466.55*$B$4,0)/366*B18,0))*B21*IF(B19&lt;3,0,IF(B19&lt;6,50%,100%))</f>
        <v>200720</v>
      </c>
      <c r="C37" s="326">
        <f t="shared" si="10"/>
        <v>0</v>
      </c>
      <c r="D37" s="326">
        <f t="shared" si="10"/>
        <v>0</v>
      </c>
      <c r="E37" s="326">
        <f t="shared" si="10"/>
        <v>0</v>
      </c>
      <c r="F37" s="326">
        <f t="shared" si="10"/>
        <v>0</v>
      </c>
      <c r="G37" s="326">
        <f t="shared" si="10"/>
        <v>0</v>
      </c>
      <c r="H37" s="326">
        <f t="shared" si="10"/>
        <v>0</v>
      </c>
      <c r="I37" s="326">
        <f t="shared" si="10"/>
        <v>0</v>
      </c>
      <c r="J37" s="326">
        <f t="shared" si="10"/>
        <v>0</v>
      </c>
      <c r="K37" s="394">
        <f t="shared" si="10"/>
        <v>0</v>
      </c>
      <c r="L37" s="340">
        <f>SUM(B37:K37)</f>
        <v>200720</v>
      </c>
      <c r="M37" s="373" t="s">
        <v>523</v>
      </c>
      <c r="N37" s="522"/>
      <c r="O37" s="522"/>
      <c r="P37" s="522"/>
      <c r="Q37" s="522"/>
      <c r="R37" s="350" t="s">
        <v>2</v>
      </c>
      <c r="S37" s="351">
        <v>91999908</v>
      </c>
      <c r="T37" s="352" t="s">
        <v>505</v>
      </c>
      <c r="U37" s="352" t="s">
        <v>506</v>
      </c>
      <c r="V37" s="353">
        <v>7065</v>
      </c>
      <c r="W37" s="354">
        <v>100</v>
      </c>
      <c r="X37" s="438" t="s">
        <v>539</v>
      </c>
      <c r="Y37" s="439"/>
    </row>
    <row r="38" spans="1:28">
      <c r="A38" s="405"/>
      <c r="B38" s="325"/>
      <c r="C38" s="326"/>
      <c r="D38" s="362"/>
      <c r="E38" s="362"/>
      <c r="F38" s="362"/>
      <c r="G38" s="362"/>
      <c r="H38" s="334"/>
      <c r="I38" s="334"/>
      <c r="J38" s="334"/>
      <c r="K38" s="395"/>
      <c r="L38" s="349"/>
      <c r="M38" s="373"/>
      <c r="N38" s="522"/>
      <c r="O38" s="522"/>
      <c r="P38" s="522"/>
      <c r="Q38" s="522"/>
      <c r="R38" s="350" t="s">
        <v>2</v>
      </c>
      <c r="S38" s="351">
        <v>91999907</v>
      </c>
      <c r="T38" s="352" t="s">
        <v>596</v>
      </c>
      <c r="U38" s="352" t="s">
        <v>506</v>
      </c>
      <c r="V38" s="353">
        <v>7070</v>
      </c>
      <c r="W38" s="354">
        <v>200</v>
      </c>
      <c r="X38" s="438" t="s">
        <v>539</v>
      </c>
      <c r="Y38" s="439"/>
    </row>
    <row r="39" spans="1:28">
      <c r="A39" s="441" t="s">
        <v>61</v>
      </c>
      <c r="B39" s="359">
        <f t="shared" ref="B39:K39" si="11">SUM(B26:B34)</f>
        <v>17814942</v>
      </c>
      <c r="C39" s="360">
        <f t="shared" si="11"/>
        <v>14450000</v>
      </c>
      <c r="D39" s="360">
        <f t="shared" si="11"/>
        <v>16000000</v>
      </c>
      <c r="E39" s="360">
        <f t="shared" si="11"/>
        <v>38657098</v>
      </c>
      <c r="F39" s="360">
        <f t="shared" si="11"/>
        <v>98280000</v>
      </c>
      <c r="G39" s="360">
        <f t="shared" si="11"/>
        <v>71606652</v>
      </c>
      <c r="H39" s="360">
        <f t="shared" si="11"/>
        <v>21291956</v>
      </c>
      <c r="I39" s="360">
        <f t="shared" si="11"/>
        <v>54823875</v>
      </c>
      <c r="J39" s="360">
        <f t="shared" si="11"/>
        <v>5727273</v>
      </c>
      <c r="K39" s="597">
        <f t="shared" si="11"/>
        <v>6758622</v>
      </c>
      <c r="L39" s="349">
        <f>SUM(B39:K39)</f>
        <v>345410418</v>
      </c>
      <c r="M39" s="522"/>
      <c r="N39" s="373"/>
      <c r="O39" s="373"/>
      <c r="P39" s="373"/>
      <c r="Q39" s="373"/>
      <c r="R39" s="350" t="s">
        <v>2</v>
      </c>
      <c r="S39" s="351">
        <v>91999908</v>
      </c>
      <c r="T39" s="352" t="s">
        <v>505</v>
      </c>
      <c r="U39" s="352" t="s">
        <v>506</v>
      </c>
      <c r="V39" s="353">
        <v>7070</v>
      </c>
      <c r="W39" s="354">
        <v>200</v>
      </c>
      <c r="X39" s="438" t="s">
        <v>539</v>
      </c>
      <c r="Y39" s="439"/>
    </row>
    <row r="40" spans="1:28">
      <c r="A40" s="411"/>
      <c r="B40" s="325"/>
      <c r="C40" s="326"/>
      <c r="D40" s="326"/>
      <c r="E40" s="326"/>
      <c r="F40" s="326"/>
      <c r="G40" s="326"/>
      <c r="H40" s="334"/>
      <c r="I40" s="334"/>
      <c r="J40" s="334"/>
      <c r="K40" s="395"/>
      <c r="L40" s="349"/>
      <c r="M40" s="373"/>
      <c r="N40" s="373"/>
      <c r="O40" s="373"/>
      <c r="P40" s="373"/>
      <c r="Q40" s="373"/>
      <c r="R40" s="350" t="s">
        <v>2</v>
      </c>
      <c r="S40" s="351">
        <v>91999901</v>
      </c>
      <c r="T40" s="352" t="s">
        <v>505</v>
      </c>
      <c r="U40" s="352" t="s">
        <v>506</v>
      </c>
      <c r="V40" s="353">
        <v>9140</v>
      </c>
      <c r="W40" s="354"/>
      <c r="X40" s="438">
        <v>0.76</v>
      </c>
      <c r="Y40" s="439"/>
    </row>
    <row r="41" spans="1:28" ht="15.6">
      <c r="A41" s="412" t="s">
        <v>60</v>
      </c>
      <c r="B41" s="363"/>
      <c r="C41" s="356"/>
      <c r="D41" s="356"/>
      <c r="E41" s="356"/>
      <c r="F41" s="356"/>
      <c r="G41" s="356"/>
      <c r="H41" s="364"/>
      <c r="I41" s="364"/>
      <c r="J41" s="364"/>
      <c r="K41" s="377"/>
      <c r="L41" s="349"/>
      <c r="M41" s="373"/>
      <c r="N41" s="373"/>
      <c r="O41" s="373"/>
      <c r="P41" s="373"/>
      <c r="Q41" s="373"/>
      <c r="R41" s="350" t="s">
        <v>2</v>
      </c>
      <c r="S41" s="351">
        <v>91999907</v>
      </c>
      <c r="T41" s="352" t="s">
        <v>505</v>
      </c>
      <c r="U41" s="352" t="s">
        <v>506</v>
      </c>
      <c r="V41" s="353">
        <v>9140</v>
      </c>
      <c r="W41" s="354"/>
      <c r="X41" s="438">
        <v>0.56000000000000005</v>
      </c>
      <c r="Y41" s="439"/>
    </row>
    <row r="42" spans="1:28">
      <c r="A42" s="407" t="s">
        <v>55</v>
      </c>
      <c r="B42" s="363"/>
      <c r="C42" s="356"/>
      <c r="D42" s="356"/>
      <c r="E42" s="356"/>
      <c r="F42" s="356"/>
      <c r="G42" s="356"/>
      <c r="H42" s="364"/>
      <c r="I42" s="364"/>
      <c r="J42" s="364"/>
      <c r="K42" s="377"/>
      <c r="L42" s="349"/>
      <c r="M42" s="373"/>
      <c r="N42" s="373"/>
      <c r="O42" s="373"/>
      <c r="P42" s="373"/>
      <c r="Q42" s="373"/>
      <c r="R42" s="350" t="s">
        <v>747</v>
      </c>
      <c r="S42" s="351">
        <v>91999905</v>
      </c>
      <c r="T42" s="352" t="s">
        <v>505</v>
      </c>
      <c r="U42" s="352" t="s">
        <v>506</v>
      </c>
      <c r="V42" s="353" t="s">
        <v>641</v>
      </c>
      <c r="W42" s="354"/>
      <c r="X42" s="438">
        <v>1</v>
      </c>
      <c r="Y42" s="439"/>
    </row>
    <row r="43" spans="1:28">
      <c r="A43" s="417" t="s">
        <v>573</v>
      </c>
      <c r="B43" s="326">
        <f>ROUND(MIN(B$90,29800000)*'New Hire'!C54,0)</f>
        <v>832000</v>
      </c>
      <c r="C43" s="326">
        <f>ROUND(MIN(C$90,29800000)*'New Hire'!E54,0)</f>
        <v>0</v>
      </c>
      <c r="D43" s="326">
        <f>ROUND(MIN(D$90,29800000)*'New Hire'!G54,0)</f>
        <v>0</v>
      </c>
      <c r="E43" s="326">
        <f>ROUND(MIN(E$90,29800000)*'New Hire'!H54,0)</f>
        <v>0</v>
      </c>
      <c r="F43" s="326">
        <f>ROUND(MIN(F$90,29800000)*'New Hire'!J54,0)</f>
        <v>0</v>
      </c>
      <c r="G43" s="326">
        <f>ROUND(MIN(G$90,29800000)*'New Hire'!K54,0)</f>
        <v>2384000</v>
      </c>
      <c r="H43" s="326">
        <f>ROUND(MIN(H$90,29800000)*'New Hire'!L54,0)</f>
        <v>0</v>
      </c>
      <c r="I43" s="326">
        <f>ROUND(MIN(I$90,29800000)*'New Hire'!M54,0)</f>
        <v>920000</v>
      </c>
      <c r="J43" s="326">
        <f>ROUND(MIN(J$90,29800000)*'New Hire'!N54,0)</f>
        <v>0</v>
      </c>
      <c r="K43" s="394">
        <f>ROUND(MIN(K$90,29800000)*'New Hire'!P54,0)</f>
        <v>0</v>
      </c>
      <c r="L43" s="349">
        <f t="shared" ref="L43:L49" si="12">SUM(B43:K43)</f>
        <v>4136000</v>
      </c>
      <c r="M43" s="373"/>
      <c r="N43" s="373"/>
      <c r="O43" s="373"/>
      <c r="P43" s="373"/>
      <c r="Q43" s="373"/>
      <c r="R43" s="496" t="s">
        <v>1152</v>
      </c>
      <c r="S43" s="500">
        <v>91999901</v>
      </c>
      <c r="T43" s="617" t="s">
        <v>1153</v>
      </c>
      <c r="U43" s="615" t="s">
        <v>1154</v>
      </c>
      <c r="V43" s="616">
        <v>1000</v>
      </c>
      <c r="W43" s="431">
        <v>8000000</v>
      </c>
      <c r="X43" s="435"/>
      <c r="Y43" s="518"/>
    </row>
    <row r="44" spans="1:28">
      <c r="A44" s="436" t="s">
        <v>574</v>
      </c>
      <c r="B44" s="326">
        <f>ROUND(MIN(B$90,88400000)*'New Hire'!C57,0)</f>
        <v>104000</v>
      </c>
      <c r="C44" s="326">
        <f>ROUND(MIN(C$90,88400000)*'New Hire'!E57,0)</f>
        <v>144500</v>
      </c>
      <c r="D44" s="326">
        <f>ROUND(MIN(D$90,88400000)*'New Hire'!G57,0)</f>
        <v>0</v>
      </c>
      <c r="E44" s="326">
        <f>ROUND(MIN(E$90,88400000)*'New Hire'!H57,0)</f>
        <v>0</v>
      </c>
      <c r="F44" s="326">
        <f>ROUND(MIN(F$90,88400000)*'New Hire'!J57,0)</f>
        <v>0</v>
      </c>
      <c r="G44" s="354">
        <f>ROUND(MIN(G$90,88400000)*'New Hire'!K57,0)</f>
        <v>715000</v>
      </c>
      <c r="H44" s="326">
        <f>ROUND(MIN(H$90,88400000)*'New Hire'!L57,0)</f>
        <v>0</v>
      </c>
      <c r="I44" s="326">
        <f>ROUND(MIN(I$90,88400000)*'New Hire'!M57,0)</f>
        <v>115000</v>
      </c>
      <c r="J44" s="326">
        <f>ROUND(MIN(J$90,88400000)*'New Hire'!N57,0)</f>
        <v>0</v>
      </c>
      <c r="K44" s="394">
        <f>ROUND(MIN(K$90,88400000)*'New Hire'!P57,0)</f>
        <v>0</v>
      </c>
      <c r="L44" s="349">
        <f t="shared" si="12"/>
        <v>1078500</v>
      </c>
      <c r="M44" s="373"/>
      <c r="N44" s="373"/>
      <c r="O44" s="373"/>
      <c r="P44" s="373"/>
      <c r="Q44" s="373"/>
      <c r="R44" s="496" t="s">
        <v>1152</v>
      </c>
      <c r="S44" s="500">
        <v>91999901</v>
      </c>
      <c r="T44" s="617" t="s">
        <v>1153</v>
      </c>
      <c r="U44" s="615" t="s">
        <v>1154</v>
      </c>
      <c r="V44" s="616">
        <v>1100</v>
      </c>
      <c r="W44" s="431">
        <v>800000</v>
      </c>
      <c r="X44" s="435"/>
      <c r="Y44" s="518"/>
    </row>
    <row r="45" spans="1:28">
      <c r="A45" s="436" t="s">
        <v>575</v>
      </c>
      <c r="B45" s="326">
        <f>ROUND(MIN(B$90,29800000)*'New Hire'!C60,0)</f>
        <v>156000</v>
      </c>
      <c r="C45" s="326">
        <f>ROUND(MIN(C$90,29800000)*'New Hire'!E60,0)</f>
        <v>216750</v>
      </c>
      <c r="D45" s="326">
        <f>ROUND(MIN(D$90,29800000)*'New Hire'!G60,0)</f>
        <v>0</v>
      </c>
      <c r="E45" s="326">
        <f>ROUND(MIN(E$90,29800000)*'New Hire'!H60,0)</f>
        <v>0</v>
      </c>
      <c r="F45" s="326">
        <f>ROUND(MIN(F$90,29800000)*'New Hire'!J60,0)</f>
        <v>447000</v>
      </c>
      <c r="G45" s="326">
        <f>ROUND(MIN(G$90,29800000)*'New Hire'!K60,0)</f>
        <v>447000</v>
      </c>
      <c r="H45" s="326">
        <f>ROUND(MIN(H$90,29800000)*'New Hire'!L60,0)</f>
        <v>0</v>
      </c>
      <c r="I45" s="326">
        <f>ROUND(MIN(I$90,29800000)*'New Hire'!M60,0)</f>
        <v>172500</v>
      </c>
      <c r="J45" s="326">
        <f>ROUND(MIN(J$90,29800000)*'New Hire'!N60,0)</f>
        <v>0</v>
      </c>
      <c r="K45" s="394">
        <f>ROUND(MIN(K$90,29800000)*'New Hire'!P60,0)</f>
        <v>0</v>
      </c>
      <c r="L45" s="349">
        <f t="shared" si="12"/>
        <v>1439250</v>
      </c>
      <c r="M45" s="373"/>
      <c r="N45" s="373"/>
      <c r="O45" s="373"/>
      <c r="P45" s="373"/>
      <c r="Q45" s="373"/>
      <c r="R45" s="496" t="s">
        <v>1152</v>
      </c>
      <c r="S45" s="500">
        <v>91999901</v>
      </c>
      <c r="T45" s="617" t="s">
        <v>1153</v>
      </c>
      <c r="U45" s="615" t="s">
        <v>1154</v>
      </c>
      <c r="V45" s="616">
        <v>1102</v>
      </c>
      <c r="W45" s="431">
        <v>1600000</v>
      </c>
      <c r="X45" s="435"/>
      <c r="Y45" s="518"/>
    </row>
    <row r="46" spans="1:28">
      <c r="A46" s="405" t="s">
        <v>111</v>
      </c>
      <c r="B46" s="325">
        <f t="shared" ref="B46:K46" si="13">B97</f>
        <v>0</v>
      </c>
      <c r="C46" s="326">
        <f t="shared" si="13"/>
        <v>74438</v>
      </c>
      <c r="D46" s="326">
        <f t="shared" si="13"/>
        <v>1667760</v>
      </c>
      <c r="E46" s="326">
        <f t="shared" si="13"/>
        <v>2851355</v>
      </c>
      <c r="F46" s="326">
        <f t="shared" si="13"/>
        <v>19656000</v>
      </c>
      <c r="G46" s="326">
        <f t="shared" si="13"/>
        <v>3923409</v>
      </c>
      <c r="H46" s="326">
        <f t="shared" si="13"/>
        <v>200000</v>
      </c>
      <c r="I46" s="326">
        <f t="shared" si="13"/>
        <v>2300000</v>
      </c>
      <c r="J46" s="326">
        <f t="shared" si="13"/>
        <v>0</v>
      </c>
      <c r="K46" s="394">
        <f t="shared" si="13"/>
        <v>450000</v>
      </c>
      <c r="L46" s="349">
        <f t="shared" si="12"/>
        <v>31122962</v>
      </c>
      <c r="M46" s="373"/>
      <c r="N46" s="373"/>
      <c r="O46" s="373"/>
      <c r="P46" s="373"/>
      <c r="Q46" s="373"/>
      <c r="R46" s="42"/>
      <c r="S46" s="43"/>
      <c r="T46" s="13"/>
      <c r="U46" s="13"/>
      <c r="V46" s="61"/>
      <c r="W46" s="356"/>
      <c r="X46" s="13"/>
      <c r="Y46" s="18"/>
      <c r="Z46" s="287"/>
      <c r="AA46" s="287"/>
    </row>
    <row r="47" spans="1:28">
      <c r="A47" s="436" t="s">
        <v>1160</v>
      </c>
      <c r="B47" s="326">
        <f>'UAT12-Dec'!B57</f>
        <v>0</v>
      </c>
      <c r="C47" s="326">
        <f>'UAT12-Dec'!C57</f>
        <v>0</v>
      </c>
      <c r="D47" s="326">
        <v>0</v>
      </c>
      <c r="E47" s="326">
        <f>'UAT12-Dec'!E57</f>
        <v>0</v>
      </c>
      <c r="F47" s="326">
        <f>'UAT12-Dec'!F57</f>
        <v>0</v>
      </c>
      <c r="G47" s="326">
        <f>'UAT12-Dec'!G57</f>
        <v>0</v>
      </c>
      <c r="H47" s="326">
        <f>'UAT12-Dec'!H57</f>
        <v>0</v>
      </c>
      <c r="I47" s="326">
        <f>'UAT12-Dec'!J57</f>
        <v>10216732</v>
      </c>
      <c r="J47" s="326"/>
      <c r="K47" s="394">
        <f>'UAT12-Dec'!K57</f>
        <v>0</v>
      </c>
      <c r="L47" s="349">
        <f t="shared" si="12"/>
        <v>10216732</v>
      </c>
      <c r="M47" s="373"/>
      <c r="N47" s="373"/>
      <c r="O47" s="373"/>
      <c r="P47" s="373"/>
      <c r="Q47" s="373"/>
      <c r="R47" s="42"/>
      <c r="S47" s="43"/>
      <c r="T47" s="13"/>
      <c r="U47" s="13"/>
      <c r="V47" s="61"/>
      <c r="W47" s="356"/>
      <c r="X47" s="13"/>
      <c r="Y47" s="18"/>
      <c r="Z47" s="287"/>
      <c r="AA47" s="287"/>
    </row>
    <row r="48" spans="1:28">
      <c r="A48" s="436" t="s">
        <v>533</v>
      </c>
      <c r="B48" s="326">
        <f>B37</f>
        <v>200720</v>
      </c>
      <c r="C48" s="326">
        <f t="shared" ref="C48:K48" si="14">C37</f>
        <v>0</v>
      </c>
      <c r="D48" s="326">
        <f t="shared" si="14"/>
        <v>0</v>
      </c>
      <c r="E48" s="326">
        <f t="shared" si="14"/>
        <v>0</v>
      </c>
      <c r="F48" s="326">
        <f t="shared" si="14"/>
        <v>0</v>
      </c>
      <c r="G48" s="326">
        <f t="shared" si="14"/>
        <v>0</v>
      </c>
      <c r="H48" s="326">
        <f t="shared" si="14"/>
        <v>0</v>
      </c>
      <c r="I48" s="326">
        <f t="shared" si="14"/>
        <v>0</v>
      </c>
      <c r="J48" s="326">
        <f t="shared" si="14"/>
        <v>0</v>
      </c>
      <c r="K48" s="326">
        <f t="shared" si="14"/>
        <v>0</v>
      </c>
      <c r="L48" s="340">
        <f t="shared" si="12"/>
        <v>200720</v>
      </c>
      <c r="M48" s="373"/>
      <c r="N48" s="373"/>
      <c r="O48" s="373"/>
      <c r="P48" s="373"/>
      <c r="Q48" s="373"/>
      <c r="R48" s="42"/>
      <c r="S48" s="43"/>
      <c r="T48" s="13"/>
      <c r="U48" s="13"/>
      <c r="V48" s="61"/>
      <c r="W48" s="356"/>
      <c r="X48" s="13"/>
      <c r="Y48" s="18"/>
      <c r="Z48" s="287"/>
      <c r="AA48" s="287"/>
    </row>
    <row r="49" spans="1:27">
      <c r="A49" s="436" t="s">
        <v>536</v>
      </c>
      <c r="B49" s="326">
        <f>B84</f>
        <v>592896</v>
      </c>
      <c r="C49" s="326">
        <f t="shared" ref="C49:K49" si="15">C84</f>
        <v>0</v>
      </c>
      <c r="D49" s="326">
        <f t="shared" si="15"/>
        <v>592896</v>
      </c>
      <c r="E49" s="326">
        <f t="shared" si="15"/>
        <v>592896</v>
      </c>
      <c r="F49" s="326">
        <f t="shared" si="15"/>
        <v>0</v>
      </c>
      <c r="G49" s="326">
        <f t="shared" si="15"/>
        <v>0</v>
      </c>
      <c r="H49" s="326">
        <f t="shared" si="15"/>
        <v>0</v>
      </c>
      <c r="I49" s="326">
        <f t="shared" si="15"/>
        <v>0</v>
      </c>
      <c r="J49" s="326">
        <f t="shared" si="15"/>
        <v>0</v>
      </c>
      <c r="K49" s="326">
        <f t="shared" si="15"/>
        <v>0</v>
      </c>
      <c r="L49" s="349">
        <f t="shared" si="12"/>
        <v>1778688</v>
      </c>
      <c r="M49" s="373"/>
      <c r="N49" s="373"/>
      <c r="O49" s="341"/>
      <c r="P49" s="341"/>
      <c r="Q49" s="341"/>
      <c r="R49" s="24" t="s">
        <v>57</v>
      </c>
      <c r="S49" s="37" t="s">
        <v>67</v>
      </c>
      <c r="T49" s="37" t="s">
        <v>69</v>
      </c>
      <c r="U49" s="37" t="s">
        <v>70</v>
      </c>
      <c r="V49" s="62" t="s">
        <v>424</v>
      </c>
      <c r="W49" s="357" t="s">
        <v>425</v>
      </c>
      <c r="X49" s="37" t="s">
        <v>56</v>
      </c>
      <c r="Y49" s="38"/>
      <c r="Z49" s="287"/>
      <c r="AA49" s="287"/>
    </row>
    <row r="50" spans="1:27">
      <c r="A50" s="405"/>
      <c r="B50" s="365"/>
      <c r="C50" s="366"/>
      <c r="D50" s="366"/>
      <c r="E50" s="366"/>
      <c r="F50" s="366"/>
      <c r="G50" s="366"/>
      <c r="H50" s="367"/>
      <c r="I50" s="367"/>
      <c r="J50" s="367"/>
      <c r="K50" s="397"/>
      <c r="L50" s="349"/>
      <c r="M50" s="373"/>
      <c r="N50" s="373"/>
      <c r="O50" s="373"/>
      <c r="P50" s="373"/>
      <c r="Q50" s="373"/>
      <c r="R50" s="505" t="s">
        <v>423</v>
      </c>
      <c r="S50" s="506">
        <v>91999906</v>
      </c>
      <c r="T50" s="507" t="s">
        <v>826</v>
      </c>
      <c r="U50" s="507" t="s">
        <v>826</v>
      </c>
      <c r="V50" s="286">
        <v>0.375</v>
      </c>
      <c r="W50" s="286">
        <v>0.47916666666666669</v>
      </c>
      <c r="X50" s="284">
        <v>9180</v>
      </c>
      <c r="Y50" s="467">
        <v>2.5</v>
      </c>
      <c r="Z50" s="287"/>
      <c r="AA50" s="287"/>
    </row>
    <row r="51" spans="1:27">
      <c r="A51" s="413" t="s">
        <v>4</v>
      </c>
      <c r="B51" s="359">
        <f t="shared" ref="B51:K51" si="16">SUM(B43:B50)</f>
        <v>1885616</v>
      </c>
      <c r="C51" s="360">
        <f t="shared" si="16"/>
        <v>435688</v>
      </c>
      <c r="D51" s="360">
        <f t="shared" si="16"/>
        <v>2260656</v>
      </c>
      <c r="E51" s="360">
        <f t="shared" si="16"/>
        <v>3444251</v>
      </c>
      <c r="F51" s="360">
        <f t="shared" si="16"/>
        <v>20103000</v>
      </c>
      <c r="G51" s="360">
        <f t="shared" si="16"/>
        <v>7469409</v>
      </c>
      <c r="H51" s="360">
        <f t="shared" si="16"/>
        <v>200000</v>
      </c>
      <c r="I51" s="360">
        <f t="shared" si="16"/>
        <v>13724232</v>
      </c>
      <c r="J51" s="360">
        <f t="shared" si="16"/>
        <v>0</v>
      </c>
      <c r="K51" s="605">
        <f t="shared" si="16"/>
        <v>450000</v>
      </c>
      <c r="L51" s="349">
        <f>SUM(B51:K51)</f>
        <v>49972852</v>
      </c>
      <c r="M51" s="373"/>
      <c r="N51" s="373"/>
      <c r="O51" s="373"/>
      <c r="P51" s="373"/>
      <c r="Q51" s="373"/>
      <c r="R51" s="505" t="s">
        <v>422</v>
      </c>
      <c r="S51" s="506">
        <v>91999906</v>
      </c>
      <c r="T51" s="507" t="s">
        <v>827</v>
      </c>
      <c r="U51" s="507" t="s">
        <v>827</v>
      </c>
      <c r="V51" s="286">
        <v>0.375</v>
      </c>
      <c r="W51" s="286">
        <v>0.47916666666666669</v>
      </c>
      <c r="X51" s="284">
        <v>9180</v>
      </c>
      <c r="Y51" s="467">
        <v>2.5</v>
      </c>
      <c r="Z51" s="287"/>
      <c r="AA51" s="287"/>
    </row>
    <row r="52" spans="1:27">
      <c r="A52" s="414"/>
      <c r="B52" s="325"/>
      <c r="C52" s="326"/>
      <c r="D52" s="326"/>
      <c r="E52" s="326"/>
      <c r="F52" s="326"/>
      <c r="G52" s="326"/>
      <c r="H52" s="334"/>
      <c r="I52" s="334"/>
      <c r="J52" s="334"/>
      <c r="K52" s="395"/>
      <c r="L52" s="349"/>
      <c r="M52" s="373"/>
      <c r="N52" s="373"/>
      <c r="O52" s="373"/>
      <c r="P52" s="373"/>
      <c r="Q52" s="373"/>
      <c r="R52" s="505" t="s">
        <v>422</v>
      </c>
      <c r="S52" s="506">
        <v>91999914</v>
      </c>
      <c r="T52" s="507" t="s">
        <v>828</v>
      </c>
      <c r="U52" s="507" t="s">
        <v>828</v>
      </c>
      <c r="V52" s="286">
        <v>0.375</v>
      </c>
      <c r="W52" s="286">
        <v>0.47916666666666669</v>
      </c>
      <c r="X52" s="284">
        <v>9180</v>
      </c>
      <c r="Y52" s="467">
        <v>2.5</v>
      </c>
      <c r="AA52" s="287"/>
    </row>
    <row r="53" spans="1:27" ht="14.4" thickBot="1">
      <c r="A53" s="441" t="s">
        <v>5</v>
      </c>
      <c r="B53" s="328">
        <f t="shared" ref="B53:K53" si="17">MAX(B39-B51,0)</f>
        <v>15929326</v>
      </c>
      <c r="C53" s="328">
        <f t="shared" si="17"/>
        <v>14014312</v>
      </c>
      <c r="D53" s="328">
        <f t="shared" si="17"/>
        <v>13739344</v>
      </c>
      <c r="E53" s="328">
        <f t="shared" si="17"/>
        <v>35212847</v>
      </c>
      <c r="F53" s="328">
        <f t="shared" si="17"/>
        <v>78177000</v>
      </c>
      <c r="G53" s="328">
        <f t="shared" si="17"/>
        <v>64137243</v>
      </c>
      <c r="H53" s="328">
        <f t="shared" si="17"/>
        <v>21091956</v>
      </c>
      <c r="I53" s="328">
        <f t="shared" si="17"/>
        <v>41099643</v>
      </c>
      <c r="J53" s="328">
        <f t="shared" si="17"/>
        <v>5727273</v>
      </c>
      <c r="K53" s="398">
        <f t="shared" si="17"/>
        <v>6308622</v>
      </c>
      <c r="L53" s="349">
        <f>SUM(B53:K53)</f>
        <v>295437566</v>
      </c>
      <c r="M53" s="341"/>
      <c r="N53" s="341"/>
      <c r="O53" s="341"/>
      <c r="P53" s="341"/>
      <c r="Q53" s="341"/>
      <c r="R53" s="505" t="s">
        <v>422</v>
      </c>
      <c r="S53" s="506">
        <v>91999914</v>
      </c>
      <c r="T53" s="507" t="s">
        <v>829</v>
      </c>
      <c r="U53" s="507" t="s">
        <v>829</v>
      </c>
      <c r="V53" s="286">
        <v>0.375</v>
      </c>
      <c r="W53" s="286">
        <v>0.47916666666666669</v>
      </c>
      <c r="X53" s="284">
        <v>9180</v>
      </c>
      <c r="Y53" s="467">
        <v>2.5</v>
      </c>
      <c r="AA53" s="287"/>
    </row>
    <row r="54" spans="1:27" ht="14.4" thickTop="1">
      <c r="A54" s="441"/>
      <c r="B54" s="326"/>
      <c r="C54" s="326"/>
      <c r="D54" s="326"/>
      <c r="E54" s="326"/>
      <c r="F54" s="326"/>
      <c r="G54" s="326"/>
      <c r="H54" s="326"/>
      <c r="I54" s="326"/>
      <c r="J54" s="326"/>
      <c r="K54" s="394"/>
      <c r="L54" s="349"/>
      <c r="M54" s="373"/>
      <c r="N54" s="373"/>
      <c r="O54" s="373"/>
      <c r="P54" s="373"/>
      <c r="Q54" s="373"/>
      <c r="R54" s="496" t="s">
        <v>1173</v>
      </c>
      <c r="S54" s="524">
        <v>91999912</v>
      </c>
      <c r="T54" s="525">
        <v>43800</v>
      </c>
      <c r="U54" s="525">
        <v>43814</v>
      </c>
      <c r="V54" s="497"/>
      <c r="W54" s="497"/>
      <c r="X54" s="498">
        <v>3000</v>
      </c>
      <c r="Y54" s="499">
        <v>10</v>
      </c>
      <c r="Z54">
        <f>NETWORKDAYS(T54,U54)</f>
        <v>10</v>
      </c>
      <c r="AA54" s="287"/>
    </row>
    <row r="55" spans="1:27" ht="15.6">
      <c r="A55" s="404" t="s">
        <v>62</v>
      </c>
      <c r="B55" s="368"/>
      <c r="C55" s="399"/>
      <c r="D55" s="399"/>
      <c r="E55" s="399"/>
      <c r="F55" s="399"/>
      <c r="G55" s="399"/>
      <c r="H55" s="364"/>
      <c r="I55" s="364"/>
      <c r="J55" s="364"/>
      <c r="K55" s="377"/>
      <c r="L55" s="377"/>
      <c r="M55" s="373"/>
      <c r="N55" s="373"/>
      <c r="O55" s="373"/>
      <c r="P55" s="373"/>
      <c r="Q55" s="373"/>
      <c r="R55" s="33"/>
      <c r="S55" s="45"/>
      <c r="T55" s="13"/>
      <c r="U55" s="13"/>
      <c r="V55" s="13"/>
      <c r="W55" s="13"/>
      <c r="X55" s="13"/>
      <c r="Y55" s="18"/>
      <c r="AA55" s="287"/>
    </row>
    <row r="56" spans="1:27">
      <c r="A56" s="417" t="s">
        <v>570</v>
      </c>
      <c r="B56" s="326">
        <f>ROUND(MIN(B$90,29800000)*'New Hire'!C55,0)</f>
        <v>1768000</v>
      </c>
      <c r="C56" s="326">
        <f>ROUND(MIN(C$90,29800000)*'New Hire'!E55,0)</f>
        <v>72250</v>
      </c>
      <c r="D56" s="326">
        <f>ROUND(MIN(D$90,29800000)*'New Hire'!G55,0)</f>
        <v>0</v>
      </c>
      <c r="E56" s="326">
        <f>ROUND(MIN(E$90,29800000)*'New Hire'!H55,0)</f>
        <v>0</v>
      </c>
      <c r="F56" s="326">
        <f>ROUND(MIN(F$90,29800000)*'New Hire'!J55,0)</f>
        <v>149000</v>
      </c>
      <c r="G56" s="326">
        <f>ROUND(MIN(G$90,29800000)*'New Hire'!K55,0)</f>
        <v>5066000</v>
      </c>
      <c r="H56" s="326">
        <f>ROUND(MIN(H$90,29800000)*'New Hire'!L55,0)</f>
        <v>0</v>
      </c>
      <c r="I56" s="326">
        <f>ROUND(MIN(I$90,29800000)*'New Hire'!M55,0)</f>
        <v>1955000</v>
      </c>
      <c r="J56" s="326">
        <f>ROUND(MIN(J$90,29800000)*'New Hire'!N55,0)</f>
        <v>0</v>
      </c>
      <c r="K56" s="394">
        <f>ROUND(MIN(K$90,29800000)*'New Hire'!P55,0)</f>
        <v>0</v>
      </c>
      <c r="L56" s="340">
        <f>SUM(B56:K56)</f>
        <v>9010250</v>
      </c>
      <c r="M56" s="373"/>
      <c r="N56" s="373"/>
      <c r="O56" s="373"/>
      <c r="P56" s="373"/>
      <c r="Q56" s="373"/>
      <c r="R56" s="33"/>
      <c r="S56" s="45"/>
      <c r="T56" s="13"/>
      <c r="U56" s="13"/>
      <c r="V56" s="13"/>
      <c r="W56" s="13"/>
      <c r="X56" s="13"/>
      <c r="Y56" s="18"/>
      <c r="AA56" s="287"/>
    </row>
    <row r="57" spans="1:27">
      <c r="A57" s="436" t="s">
        <v>571</v>
      </c>
      <c r="B57" s="326">
        <f>ROUND(MIN(B$90,88400000)*'New Hire'!C58,0)</f>
        <v>104000</v>
      </c>
      <c r="C57" s="326">
        <f>ROUND(MIN(C$90,88400000)*'New Hire'!E58,0)</f>
        <v>144500</v>
      </c>
      <c r="D57" s="326">
        <f>ROUND(MIN(D$90,88400000)*'New Hire'!G58,0)</f>
        <v>0</v>
      </c>
      <c r="E57" s="326">
        <f>ROUND(MIN(E$90,88400000)*'New Hire'!H58,0)</f>
        <v>0</v>
      </c>
      <c r="F57" s="326">
        <f>ROUND(MIN(F$90,88400000)*'New Hire'!J58,0)</f>
        <v>0</v>
      </c>
      <c r="G57" s="326">
        <f>ROUND(MIN(G$90,88400000)*'New Hire'!K58,0)</f>
        <v>715000</v>
      </c>
      <c r="H57" s="326">
        <f>ROUND(MIN(H$90,88400000)*'New Hire'!L58,0)</f>
        <v>0</v>
      </c>
      <c r="I57" s="326">
        <f>ROUND(MIN(I$90,88400000)*'New Hire'!M58,0)</f>
        <v>115000</v>
      </c>
      <c r="J57" s="326">
        <f>ROUND(MIN(J$90,88400000)*'New Hire'!N58,0)</f>
        <v>0</v>
      </c>
      <c r="K57" s="394">
        <f>ROUND(MIN(K$90,88400000)*'New Hire'!P58,0)</f>
        <v>0</v>
      </c>
      <c r="L57" s="340">
        <f>SUM(B57:K57)</f>
        <v>1078500</v>
      </c>
      <c r="M57" s="373"/>
      <c r="N57" s="373"/>
      <c r="O57" s="373"/>
      <c r="P57" s="373"/>
      <c r="Q57" s="373"/>
      <c r="R57" s="32"/>
      <c r="S57" s="44"/>
      <c r="T57" s="13"/>
      <c r="U57" s="13"/>
      <c r="V57" s="13"/>
      <c r="W57" s="13"/>
      <c r="X57" s="13"/>
      <c r="Y57" s="18"/>
      <c r="AA57" s="287"/>
    </row>
    <row r="58" spans="1:27">
      <c r="A58" s="436" t="s">
        <v>572</v>
      </c>
      <c r="B58" s="326">
        <f>ROUND(MIN(B$90,29800000)*'New Hire'!C61,0)</f>
        <v>312000</v>
      </c>
      <c r="C58" s="326">
        <f>ROUND(MIN(C$90,29800000)*'New Hire'!E61,0)</f>
        <v>433500</v>
      </c>
      <c r="D58" s="326">
        <f>ROUND(MIN(D$90,29800000)*'New Hire'!G61,0)</f>
        <v>0</v>
      </c>
      <c r="E58" s="326">
        <f>ROUND(MIN(E$90,29800000)*'New Hire'!H61,0)</f>
        <v>0</v>
      </c>
      <c r="F58" s="326">
        <f>ROUND(MIN(F$90,29800000)*'New Hire'!J61,0)</f>
        <v>894000</v>
      </c>
      <c r="G58" s="326">
        <f>ROUND(MIN(G$90,29800000)*'New Hire'!K61,0)</f>
        <v>894000</v>
      </c>
      <c r="H58" s="326">
        <f>ROUND(MIN(H$90,29800000)*'New Hire'!L61,0)</f>
        <v>0</v>
      </c>
      <c r="I58" s="326">
        <f>ROUND(MIN(I$90,29800000)*'New Hire'!M61,0)</f>
        <v>345000</v>
      </c>
      <c r="J58" s="326">
        <f>ROUND(MIN(J$90,29800000)*'New Hire'!N61,0)</f>
        <v>0</v>
      </c>
      <c r="K58" s="394">
        <f>ROUND(MIN(K$90,29800000)*'New Hire'!P61,0)</f>
        <v>0</v>
      </c>
      <c r="L58" s="340">
        <f>SUM(B58:K58)</f>
        <v>2878500</v>
      </c>
      <c r="M58" s="373"/>
      <c r="N58" s="373"/>
      <c r="O58" s="373"/>
      <c r="P58" s="373"/>
      <c r="Q58" s="373"/>
      <c r="Z58" s="287"/>
      <c r="AA58" s="287"/>
    </row>
    <row r="59" spans="1:27">
      <c r="A59" s="436" t="s">
        <v>1071</v>
      </c>
      <c r="B59" s="326">
        <f t="shared" ref="B59:K59" si="18">ROUND(MIN(B90,29800000)*2%,0)</f>
        <v>208000</v>
      </c>
      <c r="C59" s="326">
        <f t="shared" si="18"/>
        <v>289000</v>
      </c>
      <c r="D59" s="326">
        <f t="shared" si="18"/>
        <v>320000</v>
      </c>
      <c r="E59" s="326">
        <f t="shared" si="18"/>
        <v>0</v>
      </c>
      <c r="F59" s="326">
        <f t="shared" si="18"/>
        <v>596000</v>
      </c>
      <c r="G59" s="326">
        <f t="shared" si="18"/>
        <v>596000</v>
      </c>
      <c r="H59" s="326">
        <f t="shared" si="18"/>
        <v>260000</v>
      </c>
      <c r="I59" s="326">
        <f t="shared" si="18"/>
        <v>230000</v>
      </c>
      <c r="J59" s="326">
        <f t="shared" si="18"/>
        <v>210000</v>
      </c>
      <c r="K59" s="394">
        <f t="shared" si="18"/>
        <v>0</v>
      </c>
      <c r="L59" s="349">
        <f>SUM(B59:K59)</f>
        <v>2709000</v>
      </c>
      <c r="M59" s="335"/>
      <c r="N59" s="326"/>
      <c r="O59" s="326"/>
      <c r="P59" s="335"/>
      <c r="Q59" s="373"/>
      <c r="Z59" s="287"/>
      <c r="AA59" s="287"/>
    </row>
    <row r="60" spans="1:27">
      <c r="A60" s="405"/>
      <c r="B60" s="325"/>
      <c r="C60" s="326"/>
      <c r="D60" s="326"/>
      <c r="E60" s="326"/>
      <c r="F60" s="326"/>
      <c r="G60" s="326"/>
      <c r="H60" s="334"/>
      <c r="I60" s="334"/>
      <c r="J60" s="334"/>
      <c r="K60" s="395"/>
      <c r="L60" s="340"/>
      <c r="M60" s="373"/>
      <c r="N60" s="373"/>
      <c r="O60" s="373"/>
      <c r="P60" s="373"/>
      <c r="Q60" s="373"/>
      <c r="Z60" s="287"/>
      <c r="AA60" s="287"/>
    </row>
    <row r="61" spans="1:27" ht="15.6">
      <c r="A61" s="404" t="s">
        <v>474</v>
      </c>
      <c r="B61" s="325"/>
      <c r="C61" s="326"/>
      <c r="D61" s="326"/>
      <c r="E61" s="326"/>
      <c r="F61" s="326"/>
      <c r="G61" s="326"/>
      <c r="H61" s="334"/>
      <c r="I61" s="334"/>
      <c r="J61" s="334"/>
      <c r="K61" s="395"/>
      <c r="L61" s="340"/>
      <c r="M61" s="373"/>
      <c r="N61" s="373"/>
      <c r="O61" s="373"/>
      <c r="P61" s="373"/>
      <c r="Q61" s="373"/>
      <c r="Z61" s="287"/>
      <c r="AA61" s="287"/>
    </row>
    <row r="62" spans="1:27">
      <c r="A62" s="436" t="s">
        <v>475</v>
      </c>
      <c r="B62" s="326">
        <f>IF(OR(B12="1",B12="P"),ROUND(B125*B81,0),0)</f>
        <v>702290</v>
      </c>
      <c r="C62" s="326">
        <f>IF(OR(C12="1",C12="P"),ROUND(C125*C81,0),0)</f>
        <v>0</v>
      </c>
      <c r="D62" s="326">
        <f>IF(OR(D12="1",D12="P"),ROUND(D125*D81,0),0)</f>
        <v>0</v>
      </c>
      <c r="E62" s="326">
        <f>IF(OR(E12="1",E12="P"),ROUND(E125*E81,0),0)</f>
        <v>0</v>
      </c>
      <c r="F62" s="326">
        <f>IF(OR(F12="1",F12="P"),ROUND(F125*F81,0),0)</f>
        <v>0</v>
      </c>
      <c r="G62" s="561">
        <v>0</v>
      </c>
      <c r="H62" s="326">
        <f>IF(OR(H12="1",H12="P"),ROUND(H125*H81,0),0)</f>
        <v>877863</v>
      </c>
      <c r="I62" s="326">
        <f>IF(OR(I12="1",I12="P"),ROUND(I125*I81,0),0)</f>
        <v>1009542</v>
      </c>
      <c r="J62" s="326">
        <f>IF(OR(J12="1",J12="P"),ROUND(J125*J81,0),0)</f>
        <v>0</v>
      </c>
      <c r="K62" s="394">
        <f>IF(OR(K12="1",K12="P"),ROUND(K125*K81,0),0)</f>
        <v>0</v>
      </c>
      <c r="L62" s="340">
        <f>SUM(B62:K62)</f>
        <v>2589695</v>
      </c>
      <c r="M62" s="373"/>
      <c r="N62" s="373"/>
      <c r="O62" s="373"/>
      <c r="P62" s="373"/>
      <c r="Q62" s="373"/>
      <c r="Z62" s="287"/>
      <c r="AA62" s="287"/>
    </row>
    <row r="63" spans="1:27">
      <c r="A63" s="452" t="s">
        <v>1156</v>
      </c>
      <c r="B63" s="431">
        <f>IF(OR(B12="1",B12="P"),ROUND(B125*'UAT12-Dec'!B88,0),0)+'UAT11-Nov'!B66-'UAT12-Dec'!B65</f>
        <v>84292</v>
      </c>
      <c r="C63" s="431"/>
      <c r="D63" s="431"/>
      <c r="E63" s="431"/>
      <c r="F63" s="431"/>
      <c r="G63" s="431"/>
      <c r="H63" s="431"/>
      <c r="I63" s="431"/>
      <c r="J63" s="431"/>
      <c r="K63" s="493"/>
      <c r="L63" s="486">
        <f>SUM(B63:K63)</f>
        <v>84292</v>
      </c>
      <c r="M63" s="373"/>
      <c r="N63" s="373"/>
      <c r="O63" s="373"/>
      <c r="P63" s="373"/>
      <c r="Q63" s="373"/>
    </row>
    <row r="64" spans="1:27">
      <c r="A64" s="436" t="s">
        <v>482</v>
      </c>
      <c r="B64" s="584">
        <f>'UAT12-Dec'!B66</f>
        <v>0</v>
      </c>
      <c r="C64" s="584">
        <f>'UAT12-Dec'!C66</f>
        <v>0</v>
      </c>
      <c r="D64" s="584">
        <f>'UAT12-Dec'!D66</f>
        <v>0.5</v>
      </c>
      <c r="E64" s="584">
        <f>'UAT12-Dec'!E66</f>
        <v>0</v>
      </c>
      <c r="F64" s="584">
        <f>'UAT12-Dec'!F66</f>
        <v>0</v>
      </c>
      <c r="G64" s="584">
        <f>'UAT12-Dec'!G66</f>
        <v>0</v>
      </c>
      <c r="H64" s="584">
        <f>'UAT12-Dec'!H66</f>
        <v>0</v>
      </c>
      <c r="I64" s="584">
        <f>'UAT12-Dec'!I66</f>
        <v>0</v>
      </c>
      <c r="J64" s="584">
        <f>'UAT12-Dec'!J66</f>
        <v>0</v>
      </c>
      <c r="K64" s="586">
        <f>'UAT12-Dec'!K66</f>
        <v>0</v>
      </c>
      <c r="L64" s="585">
        <f>SUM(B64:K64)</f>
        <v>0.5</v>
      </c>
      <c r="M64" s="335"/>
      <c r="N64" s="335"/>
      <c r="O64" s="335"/>
      <c r="P64" s="335"/>
      <c r="Q64" s="335"/>
    </row>
    <row r="65" spans="1:27">
      <c r="A65" s="436" t="s">
        <v>581</v>
      </c>
      <c r="B65" s="326">
        <f>B91+'UAT12-Dec'!B67-'UAT7-Jul'!B107</f>
        <v>76090000</v>
      </c>
      <c r="C65" s="326">
        <f>C91+'UAT12-Dec'!C67</f>
        <v>57800000</v>
      </c>
      <c r="D65" s="326">
        <f>D91+'UAT12-Dec'!E67-'UAT7-Jul'!F107</f>
        <v>102552000</v>
      </c>
      <c r="E65" s="326">
        <f>E91+'UAT12-Dec'!F67-'UAT7-Jul'!G107</f>
        <v>222768000</v>
      </c>
      <c r="F65" s="326">
        <f>F91+'UAT12-Dec'!G67-'UAT7-Jul'!I107</f>
        <v>488124000</v>
      </c>
      <c r="G65" s="326">
        <f>G91+'UAT12-Dec'!H67-'UAT7-Jul'!J107</f>
        <v>355314000</v>
      </c>
      <c r="H65" s="326">
        <f>H91+'UAT12-Dec'!I67-'UAT7-Jul'!K107</f>
        <v>98190000</v>
      </c>
      <c r="I65" s="326">
        <f>I91+'UAT12-Dec'!J67-'UAT7-Jul'!L107</f>
        <v>77690000</v>
      </c>
      <c r="J65" s="326">
        <f>J91+'UAT12-Dec'!K67-'UAT7-Jul'!M107</f>
        <v>83190000</v>
      </c>
      <c r="K65" s="394">
        <f>K91+'UAT12-Dec'!L67-'UAT7-Jul'!O107</f>
        <v>13500000</v>
      </c>
      <c r="L65" s="340">
        <f>SUM(B65:K65)</f>
        <v>1575218000</v>
      </c>
      <c r="M65" s="335"/>
      <c r="N65" s="335"/>
      <c r="O65" s="335"/>
      <c r="P65" s="335"/>
      <c r="Q65" s="335"/>
      <c r="Z65" s="287"/>
    </row>
    <row r="66" spans="1:27">
      <c r="A66" s="436" t="s">
        <v>695</v>
      </c>
      <c r="B66" s="7">
        <v>0</v>
      </c>
      <c r="C66" s="7"/>
      <c r="D66" s="7"/>
      <c r="E66" s="7"/>
      <c r="F66" s="7"/>
      <c r="G66" s="7"/>
      <c r="H66" s="7"/>
      <c r="I66" s="7"/>
      <c r="J66" s="7">
        <v>0</v>
      </c>
      <c r="K66" s="12"/>
      <c r="L66" s="466">
        <f>SUM(B66:K66)</f>
        <v>0</v>
      </c>
      <c r="M66" s="335"/>
      <c r="N66" s="335"/>
      <c r="O66" s="335"/>
      <c r="P66" s="335"/>
      <c r="Q66" s="335"/>
      <c r="R66" s="154"/>
      <c r="Z66" s="287"/>
    </row>
    <row r="67" spans="1:27">
      <c r="A67" s="405"/>
      <c r="B67" s="325"/>
      <c r="C67" s="326"/>
      <c r="D67" s="326"/>
      <c r="E67" s="326"/>
      <c r="F67" s="326"/>
      <c r="G67" s="326"/>
      <c r="H67" s="334"/>
      <c r="I67" s="334"/>
      <c r="J67" s="334"/>
      <c r="K67" s="395"/>
      <c r="L67" s="340"/>
      <c r="M67" s="335"/>
      <c r="N67" s="335"/>
      <c r="O67" s="335"/>
      <c r="P67" s="335"/>
      <c r="Q67" s="335"/>
      <c r="Z67" s="287"/>
    </row>
    <row r="68" spans="1:27" ht="15.6">
      <c r="A68" s="404" t="s">
        <v>835</v>
      </c>
      <c r="B68" s="468"/>
      <c r="C68" s="468"/>
      <c r="D68" s="468"/>
      <c r="E68" s="468"/>
      <c r="F68" s="468"/>
      <c r="G68" s="559"/>
      <c r="H68" s="468"/>
      <c r="I68" s="468"/>
      <c r="J68" s="468"/>
      <c r="K68" s="557"/>
      <c r="L68" s="340"/>
      <c r="M68" s="469"/>
      <c r="N68" s="469"/>
      <c r="O68" s="373"/>
      <c r="P68" s="373"/>
      <c r="Q68" s="373"/>
      <c r="S68" s="154"/>
      <c r="T68" s="154"/>
      <c r="U68" s="154"/>
      <c r="V68" s="154"/>
      <c r="W68" s="154"/>
      <c r="X68" s="154"/>
      <c r="Y68" s="154"/>
      <c r="Z68" s="287"/>
    </row>
    <row r="69" spans="1:27">
      <c r="A69" s="462" t="s">
        <v>831</v>
      </c>
      <c r="B69" s="334">
        <f t="shared" ref="B69:K69" si="19">B76*B105</f>
        <v>3641550.6</v>
      </c>
      <c r="C69" s="334">
        <f t="shared" si="19"/>
        <v>0</v>
      </c>
      <c r="D69" s="334">
        <f t="shared" si="19"/>
        <v>5907712</v>
      </c>
      <c r="E69" s="334">
        <f t="shared" si="19"/>
        <v>321741000</v>
      </c>
      <c r="F69" s="334">
        <f t="shared" si="19"/>
        <v>0</v>
      </c>
      <c r="G69" s="334">
        <f t="shared" si="19"/>
        <v>13894917.32</v>
      </c>
      <c r="H69" s="334">
        <f t="shared" si="19"/>
        <v>4602667.76</v>
      </c>
      <c r="I69" s="334">
        <f t="shared" si="19"/>
        <v>5307680</v>
      </c>
      <c r="J69" s="334" t="e">
        <f t="shared" si="19"/>
        <v>#REF!</v>
      </c>
      <c r="K69" s="395">
        <f t="shared" si="19"/>
        <v>35901000</v>
      </c>
      <c r="L69" s="340" t="e">
        <f>SUM(B69:K69)-G69</f>
        <v>#REF!</v>
      </c>
      <c r="Z69" s="287"/>
    </row>
    <row r="70" spans="1:27">
      <c r="A70" s="462" t="s">
        <v>832</v>
      </c>
      <c r="B70" s="334">
        <f t="shared" ref="B70:K70" si="20">B76*B104</f>
        <v>6914330.7400000002</v>
      </c>
      <c r="C70" s="334">
        <f t="shared" si="20"/>
        <v>0</v>
      </c>
      <c r="D70" s="334">
        <f t="shared" si="20"/>
        <v>0</v>
      </c>
      <c r="E70" s="334">
        <f t="shared" si="20"/>
        <v>643482000</v>
      </c>
      <c r="F70" s="334">
        <f t="shared" si="20"/>
        <v>0</v>
      </c>
      <c r="G70" s="334">
        <f t="shared" si="20"/>
        <v>27789834.640000001</v>
      </c>
      <c r="H70" s="334">
        <f t="shared" si="20"/>
        <v>9205335.5199999996</v>
      </c>
      <c r="I70" s="334">
        <f t="shared" si="20"/>
        <v>10615360</v>
      </c>
      <c r="J70" s="334" t="e">
        <f t="shared" si="20"/>
        <v>#REF!</v>
      </c>
      <c r="K70" s="395">
        <f t="shared" si="20"/>
        <v>71802000</v>
      </c>
      <c r="L70" s="340" t="e">
        <f>SUM(B70:K70)-G70</f>
        <v>#REF!</v>
      </c>
    </row>
    <row r="71" spans="1:27">
      <c r="A71" s="462" t="s">
        <v>872</v>
      </c>
      <c r="B71" s="334">
        <f>'UAT12-Dec'!B65*-1+B63*-1</f>
        <v>-6114942</v>
      </c>
      <c r="C71" s="334">
        <f>'UAT12-Dec'!C65*-1+C63*-1</f>
        <v>0</v>
      </c>
      <c r="D71" s="334">
        <f>'UAT12-Dec'!D65*-1+D63*-1</f>
        <v>-885057</v>
      </c>
      <c r="E71" s="334">
        <f>'UAT12-Dec'!E65*-1+E63*-1</f>
        <v>0</v>
      </c>
      <c r="F71" s="334">
        <f>'UAT12-Dec'!F65*-1+F63*-1</f>
        <v>-7157098</v>
      </c>
      <c r="G71" s="334">
        <f>'UAT12-Dec'!G65*-1+G63*-1</f>
        <v>0</v>
      </c>
      <c r="H71" s="334">
        <f>'UAT12-Dec'!H65*-1+H63*-1</f>
        <v>-28464600</v>
      </c>
      <c r="I71" s="334">
        <f>'UAT12-Dec'!I65*-1+I63*-1</f>
        <v>-8291956</v>
      </c>
      <c r="J71" s="334">
        <f>'UAT12-Dec'!J65*-1+J63*-1</f>
        <v>-43323875</v>
      </c>
      <c r="K71" s="334">
        <f>'UAT12-Dec'!K65*-1+K63*-1</f>
        <v>0</v>
      </c>
      <c r="L71" s="340">
        <f>SUM(B71:K71)-G71</f>
        <v>-94237528</v>
      </c>
      <c r="M71" s="335"/>
      <c r="N71" s="470"/>
      <c r="O71" s="335"/>
      <c r="P71" s="335"/>
      <c r="Q71" s="335"/>
    </row>
    <row r="72" spans="1:27">
      <c r="A72" s="462" t="s">
        <v>833</v>
      </c>
      <c r="B72" s="334"/>
      <c r="C72" s="334"/>
      <c r="D72" s="334"/>
      <c r="E72" s="334"/>
      <c r="F72" s="334"/>
      <c r="G72" s="444"/>
      <c r="H72" s="334"/>
      <c r="I72" s="334"/>
      <c r="J72" s="334"/>
      <c r="K72" s="395"/>
      <c r="L72" s="340">
        <f>SUM(B72:K72)-G72</f>
        <v>0</v>
      </c>
      <c r="M72" s="516"/>
      <c r="N72" s="516"/>
      <c r="O72" s="516"/>
      <c r="P72" s="516"/>
      <c r="Q72" s="516"/>
    </row>
    <row r="73" spans="1:27">
      <c r="A73" s="462" t="s">
        <v>834</v>
      </c>
      <c r="B73" s="334">
        <f t="shared" ref="B73:K73" si="21">IF(OR(B20="A",B20="B"),ROUND(B64*B125*50%,0),ROUND(B64*B125*$B$4*50%,0))</f>
        <v>0</v>
      </c>
      <c r="C73" s="334">
        <f t="shared" si="21"/>
        <v>0</v>
      </c>
      <c r="D73" s="334">
        <f t="shared" si="21"/>
        <v>4000000</v>
      </c>
      <c r="E73" s="334">
        <f t="shared" si="21"/>
        <v>0</v>
      </c>
      <c r="F73" s="334">
        <f t="shared" si="21"/>
        <v>0</v>
      </c>
      <c r="G73" s="334">
        <f t="shared" si="21"/>
        <v>0</v>
      </c>
      <c r="H73" s="334">
        <f t="shared" si="21"/>
        <v>0</v>
      </c>
      <c r="I73" s="334">
        <f t="shared" si="21"/>
        <v>0</v>
      </c>
      <c r="J73" s="334">
        <f t="shared" si="21"/>
        <v>0</v>
      </c>
      <c r="K73" s="395">
        <f t="shared" si="21"/>
        <v>0</v>
      </c>
      <c r="L73" s="340">
        <f>SUM(B73:K73)-G73</f>
        <v>4000000</v>
      </c>
      <c r="M73" s="341"/>
      <c r="N73" s="374"/>
      <c r="O73" s="374"/>
      <c r="P73" s="374"/>
      <c r="Q73" s="374"/>
    </row>
    <row r="74" spans="1:27">
      <c r="A74" s="405"/>
      <c r="B74" s="325"/>
      <c r="C74" s="326"/>
      <c r="D74" s="326"/>
      <c r="E74" s="326"/>
      <c r="F74" s="326"/>
      <c r="G74" s="326"/>
      <c r="H74" s="334"/>
      <c r="I74" s="334"/>
      <c r="J74" s="334"/>
      <c r="K74" s="395"/>
      <c r="L74" s="340"/>
      <c r="M74" s="341"/>
      <c r="N74" s="341"/>
      <c r="O74" s="341"/>
      <c r="P74" s="341"/>
      <c r="Q74" s="341"/>
    </row>
    <row r="75" spans="1:27" ht="15.6">
      <c r="A75" s="404" t="s">
        <v>483</v>
      </c>
      <c r="B75" s="325"/>
      <c r="C75" s="326"/>
      <c r="D75" s="326"/>
      <c r="E75" s="326"/>
      <c r="F75" s="326"/>
      <c r="G75" s="326"/>
      <c r="H75" s="334"/>
      <c r="I75" s="334"/>
      <c r="J75" s="334"/>
      <c r="K75" s="395"/>
      <c r="L75" s="340"/>
      <c r="M75" s="341"/>
      <c r="N75" s="341"/>
      <c r="O75" s="341"/>
      <c r="P75" s="341"/>
      <c r="Q75" s="341"/>
    </row>
    <row r="76" spans="1:27">
      <c r="A76" s="436" t="s">
        <v>488</v>
      </c>
      <c r="B76" s="326">
        <f t="shared" ref="B76:H76" si="22">IF(OR(B20="A",B20="B"),IF(B12&lt;&gt;"C",ROUND(B125*12/52/40,0),B126),IF(B12&lt;&gt;"C",ROUND(B125*$B$4*12/52/40,0),B126*$B$4))</f>
        <v>46154</v>
      </c>
      <c r="C76" s="326">
        <f t="shared" si="22"/>
        <v>63462</v>
      </c>
      <c r="D76" s="326">
        <f t="shared" si="22"/>
        <v>92308</v>
      </c>
      <c r="E76" s="326">
        <f t="shared" si="22"/>
        <v>6300000</v>
      </c>
      <c r="F76" s="326">
        <f t="shared" si="22"/>
        <v>610615</v>
      </c>
      <c r="G76" s="326">
        <f t="shared" si="22"/>
        <v>317308</v>
      </c>
      <c r="H76" s="326">
        <f t="shared" si="22"/>
        <v>57692</v>
      </c>
      <c r="I76" s="326">
        <f>ROUND(I125*12/52/40,0)</f>
        <v>66346</v>
      </c>
      <c r="J76" s="326">
        <f>IF(OR(J20="A",J20="B"),IF(J12&lt;&gt;"C",ROUND(J125*12/52/40,0),J126),IF(J12&lt;&gt;"C",ROUND(J125*$B$4*12/52/40,0),J126*$B$4))</f>
        <v>40385</v>
      </c>
      <c r="K76" s="394">
        <f>IF(OR(K20="A",K20="B"),IF(K12&lt;&gt;"C",ROUND(K125*12/52/40,0),K126),IF(K12&lt;&gt;"C",ROUND(K125*$B$4*12/52/40,0),K126*$B$4))</f>
        <v>900000</v>
      </c>
      <c r="L76" s="340">
        <f t="shared" ref="L76:L84" si="23">SUM(B76:K76)</f>
        <v>8494270</v>
      </c>
      <c r="M76" s="341"/>
      <c r="N76" s="341"/>
      <c r="O76" s="341"/>
      <c r="P76" s="341"/>
      <c r="Q76" s="341"/>
    </row>
    <row r="77" spans="1:27">
      <c r="A77" s="436" t="s">
        <v>499</v>
      </c>
      <c r="B77" s="326">
        <f t="shared" ref="B77:H77" si="24">IF(OR(B20="A",B20="B"),ROUND(SUM(B125,B127,B128,B130)*12/52/5*B14%,0),ROUND(SUM(B125,B127,B128,B130)*12/52/5*$B$4*B14%,0))</f>
        <v>4800</v>
      </c>
      <c r="C77" s="326">
        <f t="shared" si="24"/>
        <v>6669</v>
      </c>
      <c r="D77" s="326">
        <f t="shared" si="24"/>
        <v>5908</v>
      </c>
      <c r="E77" s="326">
        <f t="shared" si="24"/>
        <v>0</v>
      </c>
      <c r="F77" s="326">
        <f t="shared" si="24"/>
        <v>36637</v>
      </c>
      <c r="G77" s="326">
        <f t="shared" si="24"/>
        <v>19800</v>
      </c>
      <c r="H77" s="326">
        <f t="shared" si="24"/>
        <v>6000</v>
      </c>
      <c r="I77" s="326">
        <f>ROUND(SUM(I125,I127,I128,I130)*12/52/5*I14%,0)</f>
        <v>5308</v>
      </c>
      <c r="J77" s="326">
        <f>IF(OR(J20="A",J20="B"),ROUND(SUM(J125,J127,J128,J130)*12/52/5*J14%,0),ROUND(SUM(J125,J127,J128,J130)*12/52/5*$B$4*J14%,0))</f>
        <v>4846</v>
      </c>
      <c r="K77" s="394">
        <f>IF(OR(K20="A",K20="B"),ROUND(SUM(K125,K127,K128,K130)*12/52/5*K14%,0),ROUND(SUM(K125,K127,K128,K130)*12/52/5*$B$4*K14%,0))</f>
        <v>0</v>
      </c>
      <c r="L77" s="340">
        <f t="shared" si="23"/>
        <v>89968</v>
      </c>
      <c r="M77" s="341"/>
      <c r="N77" s="341"/>
      <c r="O77" s="341"/>
      <c r="P77" s="341"/>
      <c r="Q77" s="341"/>
    </row>
    <row r="78" spans="1:27">
      <c r="A78" s="436" t="s">
        <v>500</v>
      </c>
      <c r="B78" s="326">
        <f t="shared" ref="B78:H78" si="25">IF(OR(B20="A",B20="B"),ROUND(B125/B17,0),ROUND(B125*$B$4/B17,0))</f>
        <v>347826</v>
      </c>
      <c r="C78" s="326">
        <f t="shared" si="25"/>
        <v>478261</v>
      </c>
      <c r="D78" s="326">
        <f t="shared" si="25"/>
        <v>695652</v>
      </c>
      <c r="E78" s="326">
        <f t="shared" si="25"/>
        <v>0</v>
      </c>
      <c r="F78" s="326">
        <f t="shared" si="25"/>
        <v>4601739</v>
      </c>
      <c r="G78" s="326">
        <f t="shared" si="25"/>
        <v>2391304</v>
      </c>
      <c r="H78" s="326">
        <f t="shared" si="25"/>
        <v>434783</v>
      </c>
      <c r="I78" s="326">
        <f>ROUND(I125/I17,0)</f>
        <v>500000</v>
      </c>
      <c r="J78" s="326">
        <f>IF(OR(J20="A",J20="B"),ROUND(J125/J17,0),ROUND(J125*$B$4/J17,0))</f>
        <v>304348</v>
      </c>
      <c r="K78" s="394">
        <f>IF(OR(K20="A",K20="B"),ROUND(K125/K17,0),ROUND(K125*$B$4/K17,0))</f>
        <v>0</v>
      </c>
      <c r="L78" s="340">
        <f t="shared" si="23"/>
        <v>9753913</v>
      </c>
      <c r="M78" s="341"/>
      <c r="N78" s="341"/>
      <c r="O78" s="341"/>
      <c r="P78" s="341"/>
      <c r="Q78" s="341"/>
    </row>
    <row r="79" spans="1:27">
      <c r="A79" s="436" t="s">
        <v>621</v>
      </c>
      <c r="B79" s="326">
        <f t="shared" ref="B79:K79" si="26">IF(OR(B20="A",B20="B"),ROUND(SUM(B127,B128,B129,B131:B133)/B17,0),ROUND(SUM(B127,B128,B129,B131:B133)*$B$4/B17,0))</f>
        <v>104348</v>
      </c>
      <c r="C79" s="326">
        <f t="shared" si="26"/>
        <v>150000</v>
      </c>
      <c r="D79" s="326">
        <f t="shared" si="26"/>
        <v>0</v>
      </c>
      <c r="E79" s="326">
        <f t="shared" si="26"/>
        <v>0</v>
      </c>
      <c r="F79" s="326">
        <f t="shared" si="26"/>
        <v>0</v>
      </c>
      <c r="G79" s="326">
        <f t="shared" si="26"/>
        <v>717391</v>
      </c>
      <c r="H79" s="326">
        <f t="shared" si="26"/>
        <v>130435</v>
      </c>
      <c r="I79" s="326">
        <f t="shared" si="26"/>
        <v>0</v>
      </c>
      <c r="J79" s="326">
        <f t="shared" si="26"/>
        <v>152174</v>
      </c>
      <c r="K79" s="394">
        <f t="shared" si="26"/>
        <v>0</v>
      </c>
      <c r="L79" s="340">
        <f t="shared" si="23"/>
        <v>1254348</v>
      </c>
      <c r="M79" s="341"/>
      <c r="N79" s="341"/>
      <c r="O79" s="341"/>
      <c r="P79" s="341"/>
      <c r="Q79" s="341"/>
    </row>
    <row r="80" spans="1:27" s="5" customFormat="1">
      <c r="A80" s="436" t="s">
        <v>501</v>
      </c>
      <c r="B80" s="7">
        <f t="shared" ref="B80:K80" si="27">B15/B17*100%</f>
        <v>1</v>
      </c>
      <c r="C80" s="7">
        <f t="shared" si="27"/>
        <v>1</v>
      </c>
      <c r="D80" s="7">
        <f t="shared" si="27"/>
        <v>1</v>
      </c>
      <c r="E80" s="7">
        <f t="shared" si="27"/>
        <v>1</v>
      </c>
      <c r="F80" s="7">
        <f t="shared" si="27"/>
        <v>1</v>
      </c>
      <c r="G80" s="7">
        <f t="shared" si="27"/>
        <v>0.56521739130434778</v>
      </c>
      <c r="H80" s="7">
        <f t="shared" si="27"/>
        <v>1</v>
      </c>
      <c r="I80" s="7">
        <f t="shared" si="27"/>
        <v>1</v>
      </c>
      <c r="J80" s="7">
        <f t="shared" si="27"/>
        <v>1</v>
      </c>
      <c r="K80" s="12">
        <f t="shared" si="27"/>
        <v>1</v>
      </c>
      <c r="L80" s="466">
        <f t="shared" si="23"/>
        <v>9.5652173913043477</v>
      </c>
      <c r="M80" s="341"/>
      <c r="N80" s="341"/>
      <c r="O80" s="341"/>
      <c r="P80" s="341"/>
      <c r="Q80" s="341"/>
      <c r="Z80"/>
      <c r="AA80"/>
    </row>
    <row r="81" spans="1:27" s="5" customFormat="1">
      <c r="A81" s="436" t="s">
        <v>502</v>
      </c>
      <c r="B81" s="7">
        <f t="shared" ref="B81:K81" si="28">(B15-B134)/262*100%</f>
        <v>8.7786259541984726E-2</v>
      </c>
      <c r="C81" s="7">
        <f t="shared" si="28"/>
        <v>8.7786259541984726E-2</v>
      </c>
      <c r="D81" s="7">
        <f t="shared" si="28"/>
        <v>8.7786259541984726E-2</v>
      </c>
      <c r="E81" s="7">
        <f t="shared" si="28"/>
        <v>8.7786259541984726E-2</v>
      </c>
      <c r="F81" s="7">
        <f t="shared" si="28"/>
        <v>8.7786259541984726E-2</v>
      </c>
      <c r="G81" s="7">
        <f t="shared" si="28"/>
        <v>4.9618320610687022E-2</v>
      </c>
      <c r="H81" s="7">
        <f t="shared" si="28"/>
        <v>8.7786259541984726E-2</v>
      </c>
      <c r="I81" s="7">
        <f t="shared" si="28"/>
        <v>8.7786259541984726E-2</v>
      </c>
      <c r="J81" s="7">
        <f t="shared" si="28"/>
        <v>8.7786259541984726E-2</v>
      </c>
      <c r="K81" s="7">
        <f t="shared" si="28"/>
        <v>8.7786259541984726E-2</v>
      </c>
      <c r="L81" s="466">
        <f t="shared" si="23"/>
        <v>0.83969465648854946</v>
      </c>
      <c r="M81" s="516"/>
      <c r="N81" s="516"/>
      <c r="O81" s="516"/>
      <c r="P81" s="516"/>
      <c r="Q81" s="516"/>
      <c r="Z81"/>
      <c r="AA81"/>
    </row>
    <row r="82" spans="1:27" s="5" customFormat="1">
      <c r="A82" s="436" t="s">
        <v>503</v>
      </c>
      <c r="B82" s="7">
        <f t="shared" ref="B82:K82" si="29">B135/B17*100%</f>
        <v>0</v>
      </c>
      <c r="C82" s="7">
        <f t="shared" si="29"/>
        <v>0</v>
      </c>
      <c r="D82" s="7">
        <f t="shared" si="29"/>
        <v>0</v>
      </c>
      <c r="E82" s="7">
        <f t="shared" si="29"/>
        <v>0</v>
      </c>
      <c r="F82" s="7">
        <f t="shared" si="29"/>
        <v>0</v>
      </c>
      <c r="G82" s="7">
        <f t="shared" si="29"/>
        <v>0</v>
      </c>
      <c r="H82" s="7">
        <f t="shared" si="29"/>
        <v>0</v>
      </c>
      <c r="I82" s="7">
        <f t="shared" si="29"/>
        <v>0</v>
      </c>
      <c r="J82" s="7">
        <f t="shared" si="29"/>
        <v>0</v>
      </c>
      <c r="K82" s="12">
        <f t="shared" si="29"/>
        <v>0</v>
      </c>
      <c r="L82" s="466">
        <f t="shared" si="23"/>
        <v>0</v>
      </c>
      <c r="M82"/>
      <c r="N82" s="341"/>
      <c r="O82" s="341"/>
      <c r="P82" s="341"/>
      <c r="Q82" s="341"/>
      <c r="Z82"/>
      <c r="AA82"/>
    </row>
    <row r="83" spans="1:27" s="5" customFormat="1">
      <c r="A83" s="442" t="s">
        <v>492</v>
      </c>
      <c r="B83" s="326">
        <f>ROUND(W26*B18/366,0)</f>
        <v>677596</v>
      </c>
      <c r="D83" s="326">
        <f>ROUND(W29*D18/366,0)</f>
        <v>677596</v>
      </c>
      <c r="E83" s="362">
        <f>ROUND(W30*E18/366,0)</f>
        <v>677596</v>
      </c>
      <c r="F83" s="326"/>
      <c r="G83" s="326"/>
      <c r="H83" s="334"/>
      <c r="I83" s="334"/>
      <c r="J83" s="334"/>
      <c r="K83" s="395"/>
      <c r="L83" s="340">
        <f t="shared" si="23"/>
        <v>2032788</v>
      </c>
      <c r="M83"/>
      <c r="N83" s="341"/>
      <c r="O83" s="341"/>
      <c r="P83" s="341"/>
      <c r="Q83" s="341"/>
      <c r="Z83"/>
      <c r="AA83"/>
    </row>
    <row r="84" spans="1:27" s="5" customFormat="1">
      <c r="A84" s="436" t="s">
        <v>534</v>
      </c>
      <c r="B84" s="326">
        <f>ROUND(W31*B18/366,0)</f>
        <v>592896</v>
      </c>
      <c r="D84" s="326">
        <f>ROUND(W34*D18/366,0)</f>
        <v>592896</v>
      </c>
      <c r="E84" s="326">
        <f>ROUND(W35*E18/366,0)</f>
        <v>592896</v>
      </c>
      <c r="F84" s="326"/>
      <c r="G84" s="326"/>
      <c r="H84" s="326"/>
      <c r="I84" s="326"/>
      <c r="J84" s="326"/>
      <c r="K84" s="394"/>
      <c r="L84" s="340">
        <f t="shared" si="23"/>
        <v>1778688</v>
      </c>
      <c r="M84"/>
      <c r="N84"/>
      <c r="O84"/>
      <c r="P84"/>
      <c r="Q84"/>
      <c r="Z84"/>
      <c r="AA84"/>
    </row>
    <row r="85" spans="1:27" s="5" customFormat="1">
      <c r="A85" s="405" t="s">
        <v>606</v>
      </c>
      <c r="B85" s="396"/>
      <c r="C85" s="326"/>
      <c r="D85" s="326"/>
      <c r="E85" s="326"/>
      <c r="F85" s="326">
        <f>W37*B4</f>
        <v>2520000</v>
      </c>
      <c r="G85" s="326"/>
      <c r="H85" s="334"/>
      <c r="I85" s="334"/>
      <c r="J85" s="334"/>
      <c r="K85" s="395"/>
      <c r="L85" s="349">
        <f>SUM(C85:K85)</f>
        <v>2520000</v>
      </c>
      <c r="M85" s="373"/>
      <c r="N85" s="373"/>
      <c r="O85" s="373"/>
      <c r="P85" s="373"/>
      <c r="Q85" s="373"/>
      <c r="Z85"/>
      <c r="AA85"/>
    </row>
    <row r="86" spans="1:27" s="5" customFormat="1">
      <c r="A86" s="405" t="s">
        <v>607</v>
      </c>
      <c r="B86" s="396"/>
      <c r="C86" s="326"/>
      <c r="D86" s="326"/>
      <c r="E86" s="326"/>
      <c r="F86" s="326">
        <f>W39*B4</f>
        <v>5040000</v>
      </c>
      <c r="G86" s="326"/>
      <c r="H86" s="334"/>
      <c r="I86" s="334"/>
      <c r="J86" s="334"/>
      <c r="K86" s="395"/>
      <c r="L86" s="349">
        <f>SUM(C86:K86)</f>
        <v>5040000</v>
      </c>
      <c r="M86"/>
      <c r="N86"/>
      <c r="O86"/>
      <c r="P86"/>
      <c r="Q86"/>
      <c r="Z86"/>
      <c r="AA86"/>
    </row>
    <row r="87" spans="1:27" s="5" customFormat="1">
      <c r="A87" s="405"/>
      <c r="B87" s="325"/>
      <c r="C87" s="326"/>
      <c r="D87" s="326"/>
      <c r="E87" s="326"/>
      <c r="F87" s="326"/>
      <c r="G87" s="326"/>
      <c r="H87" s="334"/>
      <c r="I87" s="334"/>
      <c r="J87" s="334"/>
      <c r="K87" s="395"/>
      <c r="L87" s="340"/>
      <c r="M87"/>
      <c r="N87"/>
      <c r="O87"/>
      <c r="P87"/>
      <c r="Q87"/>
      <c r="Z87"/>
      <c r="AA87"/>
    </row>
    <row r="88" spans="1:27" s="5" customFormat="1">
      <c r="A88" s="405" t="s">
        <v>576</v>
      </c>
      <c r="B88" s="325">
        <f t="shared" ref="B88:K88" si="30">SUM(B26:B34)</f>
        <v>17814942</v>
      </c>
      <c r="C88" s="326">
        <f t="shared" si="30"/>
        <v>14450000</v>
      </c>
      <c r="D88" s="326">
        <f t="shared" si="30"/>
        <v>16000000</v>
      </c>
      <c r="E88" s="326">
        <f t="shared" si="30"/>
        <v>38657098</v>
      </c>
      <c r="F88" s="326">
        <f t="shared" si="30"/>
        <v>98280000</v>
      </c>
      <c r="G88" s="326">
        <f t="shared" si="30"/>
        <v>71606652</v>
      </c>
      <c r="H88" s="326">
        <f t="shared" si="30"/>
        <v>21291956</v>
      </c>
      <c r="I88" s="326">
        <f t="shared" si="30"/>
        <v>54823875</v>
      </c>
      <c r="J88" s="326">
        <f t="shared" si="30"/>
        <v>5727273</v>
      </c>
      <c r="K88" s="394">
        <f t="shared" si="30"/>
        <v>6758622</v>
      </c>
      <c r="L88" s="340">
        <f t="shared" ref="L88:L101" si="31">SUM(B88:K88)</f>
        <v>345410418</v>
      </c>
      <c r="M88"/>
      <c r="N88"/>
      <c r="O88"/>
      <c r="P88"/>
      <c r="Q88"/>
      <c r="Z88"/>
      <c r="AA88"/>
    </row>
    <row r="89" spans="1:27" s="5" customFormat="1">
      <c r="A89" s="436" t="s">
        <v>577</v>
      </c>
      <c r="B89" s="326">
        <f t="shared" ref="B89:K89" si="32">SUM(B26:B32,B36,B37)</f>
        <v>12578316</v>
      </c>
      <c r="C89" s="326">
        <f t="shared" si="32"/>
        <v>14450000</v>
      </c>
      <c r="D89" s="326">
        <f t="shared" si="32"/>
        <v>16677596</v>
      </c>
      <c r="E89" s="326">
        <f t="shared" si="32"/>
        <v>31506776</v>
      </c>
      <c r="F89" s="326">
        <f t="shared" si="32"/>
        <v>98280000</v>
      </c>
      <c r="G89" s="326">
        <f t="shared" si="32"/>
        <v>40413044</v>
      </c>
      <c r="H89" s="326">
        <f t="shared" si="32"/>
        <v>13000000</v>
      </c>
      <c r="I89" s="326">
        <f t="shared" si="32"/>
        <v>11500000</v>
      </c>
      <c r="J89" s="326">
        <f t="shared" si="32"/>
        <v>5727273</v>
      </c>
      <c r="K89" s="326">
        <f t="shared" si="32"/>
        <v>4500000</v>
      </c>
      <c r="L89" s="340">
        <f t="shared" si="31"/>
        <v>248633005</v>
      </c>
      <c r="M89"/>
      <c r="N89"/>
      <c r="O89"/>
      <c r="P89"/>
      <c r="Q89"/>
      <c r="Z89"/>
      <c r="AA89"/>
    </row>
    <row r="90" spans="1:27" s="5" customFormat="1">
      <c r="A90" s="436" t="s">
        <v>578</v>
      </c>
      <c r="B90" s="326">
        <f t="shared" ref="B90:H90" si="33">IF(B16&lt;B17/2,0,IF(OR(B20="A",B20="B"),SUM(B125,B127,B128,B130),B139))</f>
        <v>10400000</v>
      </c>
      <c r="C90" s="326">
        <f t="shared" si="33"/>
        <v>14450000</v>
      </c>
      <c r="D90" s="326">
        <f t="shared" si="33"/>
        <v>16000000</v>
      </c>
      <c r="E90" s="326">
        <f t="shared" si="33"/>
        <v>0</v>
      </c>
      <c r="F90" s="326">
        <f t="shared" si="33"/>
        <v>91650000</v>
      </c>
      <c r="G90" s="326">
        <f t="shared" si="33"/>
        <v>71500000</v>
      </c>
      <c r="H90" s="326">
        <f t="shared" si="33"/>
        <v>13000000</v>
      </c>
      <c r="I90" s="326">
        <f>SUM(I125,I127,I128,I130)</f>
        <v>11500000</v>
      </c>
      <c r="J90" s="326">
        <f>IF(J16&lt;J17/2,0,IF(OR(J20="A",J20="B"),SUM(J125,J127,J128,J130),J139))</f>
        <v>10500000</v>
      </c>
      <c r="K90" s="394">
        <f>IF(K16&lt;K17/2,0,IF(OR(K20="A",K20="B"),SUM(K125,K127,K128,K130),K139))</f>
        <v>0</v>
      </c>
      <c r="L90" s="340">
        <f t="shared" si="31"/>
        <v>239000000</v>
      </c>
      <c r="M90"/>
      <c r="N90"/>
      <c r="O90"/>
      <c r="P90"/>
      <c r="Q90"/>
      <c r="Z90"/>
      <c r="AA90"/>
    </row>
    <row r="91" spans="1:27" s="5" customFormat="1">
      <c r="A91" s="405" t="s">
        <v>580</v>
      </c>
      <c r="B91" s="326">
        <f t="shared" ref="B91:H91" si="34">IF(OR(B20="A",B20="B"),SUM(B138,B127,B128,B131,B132,B130),SUM(B138,B130)*$B$4)</f>
        <v>10400000</v>
      </c>
      <c r="C91" s="326">
        <f t="shared" si="34"/>
        <v>14450000</v>
      </c>
      <c r="D91" s="326">
        <f t="shared" si="34"/>
        <v>16000000</v>
      </c>
      <c r="E91" s="326">
        <f t="shared" si="34"/>
        <v>0</v>
      </c>
      <c r="F91" s="326">
        <f t="shared" si="34"/>
        <v>98280000</v>
      </c>
      <c r="G91" s="326">
        <f t="shared" si="34"/>
        <v>71500000</v>
      </c>
      <c r="H91" s="326">
        <f t="shared" si="34"/>
        <v>13000000</v>
      </c>
      <c r="I91" s="326">
        <f>SUM(I138,I127,I128,I131,I132,I130)</f>
        <v>11500000</v>
      </c>
      <c r="J91" s="326">
        <f>IF(OR(J20="A",J20="B"),SUM(J138,J127,J128,J131,J132,J130),SUM(J138,J130)*$B$4)</f>
        <v>10500000</v>
      </c>
      <c r="K91" s="394">
        <f>IF(OR(K20="A",K20="B"),SUM(K138,K127,K128,K131,K132,K130),SUM(K138,K130)*$B$4)</f>
        <v>0</v>
      </c>
      <c r="L91" s="340">
        <f t="shared" si="31"/>
        <v>245630000</v>
      </c>
      <c r="M91"/>
      <c r="N91"/>
      <c r="O91"/>
      <c r="P91"/>
      <c r="Q91"/>
      <c r="Z91"/>
      <c r="AA91"/>
    </row>
    <row r="92" spans="1:27" s="5" customFormat="1">
      <c r="A92" s="405" t="s">
        <v>481</v>
      </c>
      <c r="B92" s="326">
        <f>ROUND('UAT12-Dec'!B67/6,0)</f>
        <v>12465000</v>
      </c>
      <c r="C92" s="326">
        <f>ROUND('UAT12-Dec'!C67/3,0)</f>
        <v>14450000</v>
      </c>
      <c r="D92" s="326">
        <f>ROUND('UAT12-Dec'!E67/6,0)</f>
        <v>16558667</v>
      </c>
      <c r="E92" s="326">
        <f>ROUND('UAT12-Dec'!F67/6,0)</f>
        <v>49504000</v>
      </c>
      <c r="F92" s="326">
        <f>ROUND('UAT12-Dec'!G67/6,0)</f>
        <v>75996375</v>
      </c>
      <c r="G92" s="326">
        <f>ROUND('UAT12-Dec'!H67/6,0)</f>
        <v>54452333</v>
      </c>
      <c r="H92" s="326">
        <f>ROUND('UAT12-Dec'!I67/6,0)</f>
        <v>16365000</v>
      </c>
      <c r="I92" s="326">
        <f>ROUND('UAT12-Dec'!J67/6,0)</f>
        <v>12948333</v>
      </c>
      <c r="J92" s="326">
        <f>ROUND('UAT12-Dec'!K67/6,0)</f>
        <v>13865000</v>
      </c>
      <c r="K92" s="394">
        <f>ROUND('UAT12-Dec'!L67/6,0)</f>
        <v>3000000</v>
      </c>
      <c r="L92" s="340">
        <f t="shared" si="31"/>
        <v>269604708</v>
      </c>
      <c r="M92"/>
      <c r="N92"/>
      <c r="O92"/>
      <c r="P92"/>
      <c r="Q92"/>
      <c r="Z92"/>
      <c r="AA92"/>
    </row>
    <row r="93" spans="1:27" s="5" customFormat="1">
      <c r="A93" s="436" t="s">
        <v>484</v>
      </c>
      <c r="B93" s="326">
        <f>B89</f>
        <v>12578316</v>
      </c>
      <c r="C93" s="326">
        <f t="shared" ref="C93:K93" si="35">C89</f>
        <v>14450000</v>
      </c>
      <c r="D93" s="326">
        <f t="shared" si="35"/>
        <v>16677596</v>
      </c>
      <c r="E93" s="326">
        <f t="shared" si="35"/>
        <v>31506776</v>
      </c>
      <c r="F93" s="326">
        <f t="shared" si="35"/>
        <v>98280000</v>
      </c>
      <c r="G93" s="326">
        <f t="shared" si="35"/>
        <v>40413044</v>
      </c>
      <c r="H93" s="326">
        <f t="shared" si="35"/>
        <v>13000000</v>
      </c>
      <c r="I93" s="326">
        <f t="shared" si="35"/>
        <v>11500000</v>
      </c>
      <c r="J93" s="326">
        <f t="shared" si="35"/>
        <v>5727273</v>
      </c>
      <c r="K93" s="394">
        <f t="shared" si="35"/>
        <v>4500000</v>
      </c>
      <c r="L93" s="340">
        <f t="shared" si="31"/>
        <v>248633005</v>
      </c>
      <c r="M93"/>
      <c r="N93"/>
      <c r="O93"/>
      <c r="P93"/>
      <c r="Q93"/>
      <c r="Z93"/>
      <c r="AA93"/>
    </row>
    <row r="94" spans="1:27" s="5" customFormat="1">
      <c r="A94" s="436" t="s">
        <v>600</v>
      </c>
      <c r="B94" s="326">
        <f t="shared" ref="B94:K94" si="36">SUM(B43:B45)</f>
        <v>1092000</v>
      </c>
      <c r="C94" s="326">
        <f t="shared" si="36"/>
        <v>361250</v>
      </c>
      <c r="D94" s="326">
        <f t="shared" si="36"/>
        <v>0</v>
      </c>
      <c r="E94" s="326">
        <f t="shared" si="36"/>
        <v>0</v>
      </c>
      <c r="F94" s="326">
        <f t="shared" si="36"/>
        <v>447000</v>
      </c>
      <c r="G94" s="326">
        <f t="shared" si="36"/>
        <v>3546000</v>
      </c>
      <c r="H94" s="326">
        <f t="shared" si="36"/>
        <v>0</v>
      </c>
      <c r="I94" s="326">
        <f t="shared" si="36"/>
        <v>1207500</v>
      </c>
      <c r="J94" s="326">
        <f t="shared" si="36"/>
        <v>0</v>
      </c>
      <c r="K94" s="394">
        <f t="shared" si="36"/>
        <v>0</v>
      </c>
      <c r="L94" s="340">
        <f t="shared" si="31"/>
        <v>6653750</v>
      </c>
      <c r="M94"/>
      <c r="N94"/>
      <c r="O94"/>
      <c r="P94"/>
      <c r="Q94"/>
      <c r="Z94"/>
      <c r="AA94"/>
    </row>
    <row r="95" spans="1:27" s="5" customFormat="1">
      <c r="A95" s="436" t="s">
        <v>848</v>
      </c>
      <c r="B95" s="326">
        <f t="shared" ref="B95:K95" si="37">IF(OR(B20="A",B20="C"),B93-B94,B93)</f>
        <v>11486316</v>
      </c>
      <c r="C95" s="326">
        <f t="shared" si="37"/>
        <v>14088750</v>
      </c>
      <c r="D95" s="326">
        <f t="shared" si="37"/>
        <v>16677596</v>
      </c>
      <c r="E95" s="326">
        <f t="shared" si="37"/>
        <v>31506776</v>
      </c>
      <c r="F95" s="326">
        <f t="shared" si="37"/>
        <v>98280000</v>
      </c>
      <c r="G95" s="326">
        <f t="shared" si="37"/>
        <v>36867044</v>
      </c>
      <c r="H95" s="326">
        <f t="shared" si="37"/>
        <v>13000000</v>
      </c>
      <c r="I95" s="326">
        <f t="shared" si="37"/>
        <v>11500000</v>
      </c>
      <c r="J95" s="326">
        <f t="shared" si="37"/>
        <v>5727273</v>
      </c>
      <c r="K95" s="394">
        <f t="shared" si="37"/>
        <v>4500000</v>
      </c>
      <c r="L95" s="340">
        <f t="shared" si="31"/>
        <v>243633755</v>
      </c>
      <c r="M95"/>
      <c r="N95"/>
      <c r="O95"/>
      <c r="P95"/>
      <c r="Q95"/>
      <c r="Z95"/>
      <c r="AA95"/>
    </row>
    <row r="96" spans="1:27" s="5" customFormat="1">
      <c r="A96" s="436" t="s">
        <v>849</v>
      </c>
      <c r="B96" s="326">
        <f t="shared" ref="B96:K96" si="38">IF(OR(B20="A",B20="C"),MAX(B95-B23-B22*B21,0),B95)</f>
        <v>0</v>
      </c>
      <c r="C96" s="326">
        <f t="shared" si="38"/>
        <v>1488750</v>
      </c>
      <c r="D96" s="326">
        <f t="shared" si="38"/>
        <v>16677596</v>
      </c>
      <c r="E96" s="326">
        <f t="shared" si="38"/>
        <v>22506776</v>
      </c>
      <c r="F96" s="326">
        <f t="shared" si="38"/>
        <v>98280000</v>
      </c>
      <c r="G96" s="326">
        <f t="shared" si="38"/>
        <v>27867044</v>
      </c>
      <c r="H96" s="326">
        <f t="shared" si="38"/>
        <v>4000000</v>
      </c>
      <c r="I96" s="326">
        <f t="shared" si="38"/>
        <v>11500000</v>
      </c>
      <c r="J96" s="326">
        <f t="shared" si="38"/>
        <v>0</v>
      </c>
      <c r="K96" s="394">
        <f t="shared" si="38"/>
        <v>4500000</v>
      </c>
      <c r="L96" s="340">
        <f t="shared" si="31"/>
        <v>186820166</v>
      </c>
      <c r="M96"/>
      <c r="N96"/>
      <c r="O96"/>
      <c r="P96"/>
      <c r="Q96"/>
      <c r="Z96"/>
      <c r="AA96"/>
    </row>
    <row r="97" spans="1:28" s="5" customFormat="1">
      <c r="A97" s="436" t="s">
        <v>851</v>
      </c>
      <c r="B97" s="326">
        <f>IF(OR(B20="A",B20="C"),ROUND(MAX(B96*{5;10;15;20;25;30;35}%-{0;0.25;0.75;1.65;3.25;5.85;9.85}*1000000,0),0),IF(B20="B",IF(B96&lt;2000000,0,ROUND(B96*10%,0)),ROUND(B96*20%,0)))</f>
        <v>0</v>
      </c>
      <c r="C97" s="326">
        <f>IF(OR(C20="A",C20="C"),ROUND(MAX(C96*{5;10;15;20;25;30;35}%-{0;0.25;0.75;1.65;3.25;5.85;9.85}*1000000,0),0),IF(C20="B",IF(C96&lt;2000000,0,ROUND(C96*10%,0)),ROUND(C96*20%,0)))</f>
        <v>74438</v>
      </c>
      <c r="D97" s="326">
        <f>IF(OR(D20="A",D20="C"),ROUND(MAX(D96*{5;10;15;20;25;30;35}%-{0;0.25;0.75;1.65;3.25;5.85;9.85}*1000000,0),0),IF(D20="B",IF(D96&lt;2000000,0,ROUND(D96*10%,0)),ROUND(D96*20%,0)))</f>
        <v>1667760</v>
      </c>
      <c r="E97" s="326">
        <f>IF(OR(E20="A",E20="C"),ROUND(MAX(E96*{5;10;15;20;25;30;35}%-{0;0.25;0.75;1.65;3.25;5.85;9.85}*1000000,0),0),IF(E20="B",IF(E96&lt;2000000,0,ROUND(E96*10%,0)),ROUND(E96*20%,0)))</f>
        <v>2851355</v>
      </c>
      <c r="F97" s="326">
        <f>IF(OR(F20="A",F20="C"),ROUND(MAX(F96*{5;10;15;20;25;30;35}%-{0;0.25;0.75;1.65;3.25;5.85;9.85}*1000000,0),0),IF(F20="B",IF(F96&lt;2000000,0,ROUND(F96*10%,0)),ROUND(F96*20%,0)))</f>
        <v>19656000</v>
      </c>
      <c r="G97" s="326">
        <f>IF(OR(G20="A",G20="C"),ROUND(MAX(G96*{5;10;15;20;25;30;35}%-{0;0.25;0.75;1.65;3.25;5.85;9.85}*1000000,0),0),IF(G20="B",IF(G96&lt;2000000,0,ROUND(G96*10%,0)),ROUND(G96*20%,0)))</f>
        <v>3923409</v>
      </c>
      <c r="H97" s="326">
        <f>IF(OR(H20="A",H20="C"),ROUND(MAX(H96*{5;10;15;20;25;30;35}%-{0;0.25;0.75;1.65;3.25;5.85;9.85}*1000000,0),0),IF(H20="B",IF(H96&lt;2000000,0,ROUND(H96*10%,0)),ROUND(H96*20%,0)))</f>
        <v>200000</v>
      </c>
      <c r="I97" s="326">
        <f>IF(OR(I20="A",I20="C"),ROUND(MAX(I96*{5;10;15;20;25;30;35}%-{0;0.25;0.75;1.65;3.25;5.85;9.85}*1000000,0),0),IF(I20="B",IF(I96&lt;2000000,0,ROUND(I96*10%,0)),ROUND(I96*20%,0)))</f>
        <v>2300000</v>
      </c>
      <c r="J97" s="326">
        <f>IF(OR(J20="A",J20="C"),ROUND(MAX(J96*{5;10;15;20;25;30;35}%-{0;0.25;0.75;1.65;3.25;5.85;9.85}*1000000,0),0),IF(J20="B",IF(J96&lt;2000000,0,ROUND(J96*10%,0)),ROUND(J96*20%,0)))</f>
        <v>0</v>
      </c>
      <c r="K97" s="394">
        <f>IF(OR(K20="A",K20="C"),ROUND(MAX(K96*{5;10;15;20;25;30;35}%-{0;0.25;0.75;1.65;3.25;5.85;9.85}*1000000,0),0),IF(K20="B",IF(K96&lt;2000000,0,ROUND(K96*10%,0)),ROUND(K96*20%,0)))</f>
        <v>450000</v>
      </c>
      <c r="L97" s="340">
        <f t="shared" si="31"/>
        <v>31122962</v>
      </c>
      <c r="M97"/>
      <c r="N97"/>
      <c r="O97"/>
      <c r="P97"/>
      <c r="Q97"/>
      <c r="Z97"/>
      <c r="AA97"/>
    </row>
    <row r="98" spans="1:28" s="5" customFormat="1">
      <c r="A98" s="436" t="s">
        <v>866</v>
      </c>
      <c r="B98" s="326">
        <f>B93</f>
        <v>12578316</v>
      </c>
      <c r="C98" s="326">
        <f t="shared" ref="C98:K98" si="39">C93</f>
        <v>14450000</v>
      </c>
      <c r="D98" s="326">
        <f t="shared" si="39"/>
        <v>16677596</v>
      </c>
      <c r="E98" s="326">
        <f t="shared" si="39"/>
        <v>31506776</v>
      </c>
      <c r="F98" s="326">
        <f t="shared" si="39"/>
        <v>98280000</v>
      </c>
      <c r="G98" s="326">
        <f t="shared" si="39"/>
        <v>40413044</v>
      </c>
      <c r="H98" s="326">
        <f t="shared" si="39"/>
        <v>13000000</v>
      </c>
      <c r="I98" s="326">
        <f t="shared" si="39"/>
        <v>11500000</v>
      </c>
      <c r="J98" s="326">
        <f t="shared" si="39"/>
        <v>5727273</v>
      </c>
      <c r="K98" s="394">
        <f t="shared" si="39"/>
        <v>4500000</v>
      </c>
      <c r="L98" s="340">
        <f t="shared" si="31"/>
        <v>248633005</v>
      </c>
      <c r="M98"/>
      <c r="N98"/>
      <c r="O98"/>
      <c r="P98"/>
      <c r="Q98"/>
      <c r="Z98"/>
      <c r="AA98"/>
    </row>
    <row r="99" spans="1:28" s="5" customFormat="1">
      <c r="A99" s="452" t="s">
        <v>1178</v>
      </c>
      <c r="B99" s="431"/>
      <c r="C99" s="431"/>
      <c r="D99" s="431"/>
      <c r="E99" s="431"/>
      <c r="F99" s="431"/>
      <c r="G99" s="431"/>
      <c r="H99" s="431"/>
      <c r="I99" s="431"/>
      <c r="J99" s="431">
        <f>'UAT12-Dec'!K105+'UAT13-Jan'!J27+'UAT13-Jan'!J29+'UAT13-Jan'!J31</f>
        <v>-2465027</v>
      </c>
      <c r="K99" s="493"/>
      <c r="L99" s="486">
        <f t="shared" si="31"/>
        <v>-2465027</v>
      </c>
      <c r="M99"/>
      <c r="N99"/>
      <c r="O99"/>
      <c r="P99"/>
      <c r="Q99"/>
      <c r="Z99"/>
      <c r="AA99"/>
    </row>
    <row r="100" spans="1:28" s="5" customFormat="1">
      <c r="A100" s="436" t="s">
        <v>486</v>
      </c>
      <c r="B100" s="326">
        <f t="shared" ref="B100:K100" si="40">B97</f>
        <v>0</v>
      </c>
      <c r="C100" s="326">
        <f t="shared" si="40"/>
        <v>74438</v>
      </c>
      <c r="D100" s="326">
        <f t="shared" si="40"/>
        <v>1667760</v>
      </c>
      <c r="E100" s="326">
        <f t="shared" si="40"/>
        <v>2851355</v>
      </c>
      <c r="F100" s="326">
        <f t="shared" si="40"/>
        <v>19656000</v>
      </c>
      <c r="G100" s="326">
        <f t="shared" si="40"/>
        <v>3923409</v>
      </c>
      <c r="H100" s="326">
        <f t="shared" si="40"/>
        <v>200000</v>
      </c>
      <c r="I100" s="326">
        <f t="shared" si="40"/>
        <v>2300000</v>
      </c>
      <c r="J100" s="326">
        <f t="shared" si="40"/>
        <v>0</v>
      </c>
      <c r="K100" s="394">
        <f t="shared" si="40"/>
        <v>450000</v>
      </c>
      <c r="L100" s="340">
        <f t="shared" si="31"/>
        <v>31122962</v>
      </c>
      <c r="M100"/>
      <c r="N100"/>
      <c r="O100"/>
      <c r="P100"/>
      <c r="Q100"/>
      <c r="Z100" s="287"/>
      <c r="AA100"/>
    </row>
    <row r="101" spans="1:28" s="5" customFormat="1">
      <c r="A101" s="436" t="s">
        <v>487</v>
      </c>
      <c r="B101" s="326">
        <f t="shared" ref="B101:K101" si="41">B94</f>
        <v>1092000</v>
      </c>
      <c r="C101" s="326">
        <f t="shared" si="41"/>
        <v>361250</v>
      </c>
      <c r="D101" s="326">
        <f t="shared" si="41"/>
        <v>0</v>
      </c>
      <c r="E101" s="326">
        <f t="shared" si="41"/>
        <v>0</v>
      </c>
      <c r="F101" s="326">
        <f t="shared" si="41"/>
        <v>447000</v>
      </c>
      <c r="G101" s="326">
        <f t="shared" si="41"/>
        <v>3546000</v>
      </c>
      <c r="H101" s="326">
        <f t="shared" si="41"/>
        <v>0</v>
      </c>
      <c r="I101" s="326">
        <f t="shared" si="41"/>
        <v>1207500</v>
      </c>
      <c r="J101" s="326">
        <f t="shared" si="41"/>
        <v>0</v>
      </c>
      <c r="K101" s="394">
        <f t="shared" si="41"/>
        <v>0</v>
      </c>
      <c r="L101" s="340">
        <f t="shared" si="31"/>
        <v>6653750</v>
      </c>
      <c r="M101"/>
      <c r="N101"/>
      <c r="O101"/>
      <c r="P101"/>
      <c r="Q101"/>
      <c r="Z101" s="287"/>
      <c r="AA101"/>
    </row>
    <row r="102" spans="1:28" s="5" customFormat="1">
      <c r="A102" s="436"/>
      <c r="B102" s="326"/>
      <c r="C102" s="326"/>
      <c r="D102" s="326"/>
      <c r="E102" s="326"/>
      <c r="F102" s="326"/>
      <c r="G102" s="326"/>
      <c r="H102" s="326"/>
      <c r="I102" s="326"/>
      <c r="J102" s="326"/>
      <c r="K102" s="394"/>
      <c r="L102" s="533"/>
      <c r="M102"/>
      <c r="N102"/>
      <c r="O102"/>
      <c r="P102"/>
      <c r="Q102"/>
      <c r="Z102" s="287"/>
      <c r="AA102"/>
    </row>
    <row r="103" spans="1:28" s="5" customFormat="1" ht="15.6">
      <c r="A103" s="404" t="s">
        <v>875</v>
      </c>
      <c r="B103" s="14"/>
      <c r="C103" s="7"/>
      <c r="D103" s="7"/>
      <c r="E103" s="7"/>
      <c r="F103" s="7"/>
      <c r="G103" s="7"/>
      <c r="H103" s="316"/>
      <c r="I103" s="316"/>
      <c r="J103" s="316"/>
      <c r="K103" s="375"/>
      <c r="L103" s="533"/>
      <c r="M103"/>
      <c r="N103"/>
      <c r="O103"/>
      <c r="P103"/>
      <c r="Q103"/>
      <c r="Z103" s="287"/>
      <c r="AA103"/>
    </row>
    <row r="104" spans="1:28" s="5" customFormat="1">
      <c r="A104" s="436" t="s">
        <v>431</v>
      </c>
      <c r="B104" s="526">
        <f>MAX('UAT12-Dec'!B113,0)</f>
        <v>149.81</v>
      </c>
      <c r="C104" s="526">
        <f>MAX('UAT12-Dec'!C113,0)</f>
        <v>0</v>
      </c>
      <c r="D104" s="526">
        <f>MAX('UAT12-Dec'!E113,0)</f>
        <v>0</v>
      </c>
      <c r="E104" s="526">
        <f>MAX('UAT12-Dec'!F113,0)</f>
        <v>102.14</v>
      </c>
      <c r="F104" s="526">
        <f>MAX('UAT12-Dec'!G113,0)</f>
        <v>0</v>
      </c>
      <c r="G104" s="526">
        <f>MAX('UAT12-Dec'!H113,0)</f>
        <v>87.58</v>
      </c>
      <c r="H104" s="526">
        <f>MAX('UAT12-Dec'!I113,0)</f>
        <v>159.56</v>
      </c>
      <c r="I104" s="526">
        <f>MAX('UAT12-Dec'!J113,0)</f>
        <v>160</v>
      </c>
      <c r="J104" s="612" t="e">
        <f>ROUND(20*8*12/365,5)+'UAT11-Nov'!M123</f>
        <v>#REF!</v>
      </c>
      <c r="K104" s="527">
        <f>MAX('UAT12-Dec'!L113,0)</f>
        <v>79.78</v>
      </c>
      <c r="L104" s="533" t="e">
        <f>SUM(B104:K104)</f>
        <v>#REF!</v>
      </c>
      <c r="M104"/>
      <c r="N104"/>
      <c r="O104"/>
      <c r="P104"/>
      <c r="Q104"/>
      <c r="Z104" s="287"/>
      <c r="AA104"/>
    </row>
    <row r="105" spans="1:28">
      <c r="A105" s="436" t="s">
        <v>432</v>
      </c>
      <c r="B105" s="526">
        <f>MAX('UAT12-Dec'!B114,0)</f>
        <v>78.900000000000006</v>
      </c>
      <c r="C105" s="526">
        <f>MAX('UAT12-Dec'!C114,0)</f>
        <v>0</v>
      </c>
      <c r="D105" s="526">
        <f>MAX('UAT12-Dec'!E114,0)</f>
        <v>64</v>
      </c>
      <c r="E105" s="526">
        <f>MAX('UAT12-Dec'!F114,0)</f>
        <v>51.07</v>
      </c>
      <c r="F105" s="526">
        <f>MAX('UAT12-Dec'!G114,0)</f>
        <v>0</v>
      </c>
      <c r="G105" s="526">
        <f>MAX('UAT12-Dec'!H114,0)</f>
        <v>43.79</v>
      </c>
      <c r="H105" s="526">
        <f>MAX('UAT12-Dec'!I114,0)</f>
        <v>79.78</v>
      </c>
      <c r="I105" s="526">
        <f>MAX('UAT12-Dec'!J114,0)</f>
        <v>80</v>
      </c>
      <c r="J105" s="612" t="e">
        <f>ROUND(10*8*12/365,5)+'UAT11-Nov'!M124</f>
        <v>#REF!</v>
      </c>
      <c r="K105" s="527">
        <f>MAX('UAT12-Dec'!L114,0)</f>
        <v>39.89</v>
      </c>
      <c r="L105" s="533" t="e">
        <f>SUM(B105:K105)</f>
        <v>#REF!</v>
      </c>
      <c r="Z105" s="287"/>
      <c r="AA105" s="81"/>
      <c r="AB105" s="81"/>
    </row>
    <row r="106" spans="1:28">
      <c r="A106" s="436" t="s">
        <v>433</v>
      </c>
      <c r="B106" s="531">
        <f>'UAT12-Dec'!B115</f>
        <v>0</v>
      </c>
      <c r="C106" s="531">
        <f>'UAT12-Dec'!C115</f>
        <v>0</v>
      </c>
      <c r="D106" s="531">
        <f>'UAT12-Dec'!E115</f>
        <v>160</v>
      </c>
      <c r="E106" s="531">
        <f>'UAT12-Dec'!F115</f>
        <v>0</v>
      </c>
      <c r="F106" s="531">
        <f>'UAT12-Dec'!G115</f>
        <v>0</v>
      </c>
      <c r="G106" s="531">
        <f>'UAT12-Dec'!H115</f>
        <v>0</v>
      </c>
      <c r="H106" s="531">
        <f>'UAT12-Dec'!I115</f>
        <v>0</v>
      </c>
      <c r="I106" s="531">
        <f>'UAT12-Dec'!J115</f>
        <v>0</v>
      </c>
      <c r="J106" s="531">
        <f>'UAT12-Dec'!K115</f>
        <v>0</v>
      </c>
      <c r="K106" s="532">
        <f>'UAT12-Dec'!L115</f>
        <v>0</v>
      </c>
      <c r="L106" s="535">
        <f>SUM(B106:K106)</f>
        <v>160</v>
      </c>
      <c r="Z106" s="287"/>
      <c r="AA106" s="81"/>
      <c r="AB106" s="81"/>
    </row>
    <row r="107" spans="1:28">
      <c r="A107" s="436" t="s">
        <v>434</v>
      </c>
      <c r="B107" s="531">
        <f>'UAT12-Dec'!B116</f>
        <v>39.480000000000004</v>
      </c>
      <c r="C107" s="531">
        <f>'UAT12-Dec'!C116</f>
        <v>0</v>
      </c>
      <c r="D107" s="531">
        <f>'UAT12-Dec'!E116</f>
        <v>0</v>
      </c>
      <c r="E107" s="531">
        <f>'UAT12-Dec'!F116</f>
        <v>0</v>
      </c>
      <c r="F107" s="531">
        <f>'UAT12-Dec'!G116</f>
        <v>0</v>
      </c>
      <c r="G107" s="531">
        <f>'UAT12-Dec'!H116</f>
        <v>0</v>
      </c>
      <c r="H107" s="531">
        <f>'UAT12-Dec'!I116</f>
        <v>39.99</v>
      </c>
      <c r="I107" s="531">
        <f>'UAT12-Dec'!J116</f>
        <v>36.01</v>
      </c>
      <c r="J107" s="531">
        <f>'UAT12-Dec'!K116</f>
        <v>0</v>
      </c>
      <c r="K107" s="532">
        <f>'UAT12-Dec'!L116</f>
        <v>0</v>
      </c>
      <c r="L107" s="535">
        <f>SUM(B107:K107)</f>
        <v>115.47999999999999</v>
      </c>
      <c r="Z107" s="287"/>
      <c r="AA107" s="81"/>
      <c r="AB107" s="81"/>
    </row>
    <row r="108" spans="1:28">
      <c r="A108" s="436" t="s">
        <v>435</v>
      </c>
      <c r="B108" s="531">
        <f>'UAT10-Oct'!B164</f>
        <v>11.379999999999999</v>
      </c>
      <c r="C108" s="531">
        <f>'UAT10-Oct'!D164</f>
        <v>0</v>
      </c>
      <c r="D108" s="531">
        <f>'UAT10-Oct'!F164</f>
        <v>0</v>
      </c>
      <c r="E108" s="531">
        <f>'UAT10-Oct'!G164</f>
        <v>0</v>
      </c>
      <c r="F108" s="531">
        <f>'UAT10-Oct'!I164</f>
        <v>0</v>
      </c>
      <c r="G108" s="531">
        <f>'UAT10-Oct'!J164</f>
        <v>0</v>
      </c>
      <c r="H108" s="531">
        <f>'UAT10-Oct'!K164</f>
        <v>0</v>
      </c>
      <c r="I108" s="531">
        <f>'UAT10-Oct'!L164</f>
        <v>0</v>
      </c>
      <c r="J108" s="531">
        <f>'UAT10-Oct'!M164</f>
        <v>0</v>
      </c>
      <c r="K108" s="532">
        <f>'UAT10-Oct'!O164</f>
        <v>0</v>
      </c>
      <c r="L108" s="589">
        <f>SUM(B108:K108)</f>
        <v>11.379999999999999</v>
      </c>
      <c r="Z108" s="287"/>
      <c r="AA108" s="81"/>
      <c r="AB108" s="81"/>
    </row>
    <row r="109" spans="1:28">
      <c r="A109" s="436"/>
      <c r="D109" s="5"/>
      <c r="E109" s="5"/>
      <c r="F109" s="5"/>
      <c r="K109" s="588"/>
      <c r="L109" s="339"/>
      <c r="Z109" s="287"/>
      <c r="AA109" s="81"/>
      <c r="AB109" s="81"/>
    </row>
    <row r="110" spans="1:28" ht="15.6">
      <c r="A110" s="404" t="s">
        <v>876</v>
      </c>
      <c r="B110" s="14"/>
      <c r="C110" s="7"/>
      <c r="D110" s="7"/>
      <c r="E110" s="7"/>
      <c r="F110" s="7"/>
      <c r="G110" s="7"/>
      <c r="H110" s="316"/>
      <c r="I110" s="316"/>
      <c r="J110" s="316"/>
      <c r="K110" s="375"/>
      <c r="L110" s="589"/>
      <c r="Z110" s="287"/>
      <c r="AA110" s="81"/>
      <c r="AB110" s="81"/>
    </row>
    <row r="111" spans="1:28">
      <c r="A111" s="436" t="s">
        <v>431</v>
      </c>
      <c r="B111" s="526">
        <f>'New Hire'!C101+MIN(0,'UAT12-Dec'!B113)</f>
        <v>160</v>
      </c>
      <c r="C111" s="526">
        <f>'New Hire'!E101+MIN(0,'UAT12-Dec'!C113)</f>
        <v>160</v>
      </c>
      <c r="D111" s="570">
        <f>'New Hire'!G101+MIN(0,'UAT12-Dec'!E113)</f>
        <v>88</v>
      </c>
      <c r="E111" s="526">
        <f>'New Hire'!H101+MIN(0,'UAT12-Dec'!F113)</f>
        <v>0</v>
      </c>
      <c r="F111" s="526">
        <f>'New Hire'!J101+MIN(0,'UAT12-Dec'!G113)</f>
        <v>0</v>
      </c>
      <c r="G111" s="526">
        <f>'New Hire'!K101+MIN(0,'UAT12-Dec'!H113)</f>
        <v>96</v>
      </c>
      <c r="H111" s="526">
        <f>'New Hire'!L101+MIN(0,'UAT12-Dec'!I113)</f>
        <v>160</v>
      </c>
      <c r="I111" s="526">
        <f>'New Hire'!M101+MIN(0,'UAT12-Dec'!J113)</f>
        <v>160</v>
      </c>
      <c r="J111" s="526">
        <f>'New Hire'!N101+MIN(0,'UAT12-Dec'!K113)</f>
        <v>160</v>
      </c>
      <c r="K111" s="527">
        <f>'New Hire'!P101+MIN(0,'UAT12-Dec'!L113)</f>
        <v>0</v>
      </c>
      <c r="L111" s="589">
        <f>SUM(B111:K111)</f>
        <v>984</v>
      </c>
      <c r="Z111" s="287"/>
      <c r="AA111" s="81"/>
      <c r="AB111" s="81"/>
    </row>
    <row r="112" spans="1:28">
      <c r="A112" s="436" t="s">
        <v>432</v>
      </c>
      <c r="B112" s="526">
        <f>'New Hire'!C105+MIN(0,'UAT12-Dec'!B114)</f>
        <v>80</v>
      </c>
      <c r="C112" s="526">
        <f>'New Hire'!E105+MIN(0,'UAT12-Dec'!C114)</f>
        <v>80</v>
      </c>
      <c r="D112" s="526">
        <f>'New Hire'!G105+MIN(0,'UAT12-Dec'!E114)</f>
        <v>64</v>
      </c>
      <c r="E112" s="526">
        <f>'New Hire'!H105+MIN(0,'UAT12-Dec'!F114)</f>
        <v>0</v>
      </c>
      <c r="F112" s="526">
        <f>'New Hire'!J105+MIN(0,'UAT12-Dec'!G114)</f>
        <v>0</v>
      </c>
      <c r="G112" s="526">
        <f>'New Hire'!K105+MIN(0,'UAT12-Dec'!H114)</f>
        <v>48</v>
      </c>
      <c r="H112" s="526">
        <f>'New Hire'!L105+MIN(0,'UAT12-Dec'!I114)</f>
        <v>80</v>
      </c>
      <c r="I112" s="526">
        <f>'New Hire'!M105+MIN(0,'UAT12-Dec'!J114)</f>
        <v>80</v>
      </c>
      <c r="J112" s="526">
        <f>'New Hire'!N105+MIN(0,'UAT12-Dec'!K114)</f>
        <v>80</v>
      </c>
      <c r="K112" s="527">
        <f>'New Hire'!P105+MIN(0,'UAT12-Dec'!L114)</f>
        <v>0</v>
      </c>
      <c r="L112" s="589">
        <f>SUM(B112:K112)</f>
        <v>512</v>
      </c>
      <c r="Z112" s="287"/>
      <c r="AA112" s="81"/>
      <c r="AB112" s="81"/>
    </row>
    <row r="113" spans="1:28">
      <c r="A113" s="436" t="s">
        <v>433</v>
      </c>
      <c r="B113" s="531">
        <f>'UAT12-Dec'!B115</f>
        <v>0</v>
      </c>
      <c r="C113" s="531">
        <f>'UAT12-Dec'!C115</f>
        <v>0</v>
      </c>
      <c r="D113" s="531">
        <f>'UAT12-Dec'!D115</f>
        <v>0</v>
      </c>
      <c r="E113" s="531">
        <f>'UAT12-Dec'!E115</f>
        <v>160</v>
      </c>
      <c r="F113" s="531">
        <f>'UAT12-Dec'!F115</f>
        <v>0</v>
      </c>
      <c r="G113" s="531">
        <f>'UAT12-Dec'!G115</f>
        <v>0</v>
      </c>
      <c r="H113" s="531">
        <f>'UAT12-Dec'!H115</f>
        <v>0</v>
      </c>
      <c r="I113" s="531">
        <f>'UAT12-Dec'!I115</f>
        <v>0</v>
      </c>
      <c r="J113" s="531">
        <f>'UAT12-Dec'!J115</f>
        <v>0</v>
      </c>
      <c r="K113" s="532">
        <f>'UAT12-Dec'!K115</f>
        <v>0</v>
      </c>
      <c r="L113" s="553">
        <f>SUM(B113:K113)</f>
        <v>160</v>
      </c>
      <c r="Z113" s="287"/>
      <c r="AA113" s="81"/>
      <c r="AB113" s="81"/>
    </row>
    <row r="114" spans="1:28">
      <c r="A114" s="436" t="s">
        <v>434</v>
      </c>
      <c r="B114" s="531">
        <f>'UAT12-Dec'!B116</f>
        <v>39.480000000000004</v>
      </c>
      <c r="C114" s="531">
        <f>'UAT12-Dec'!C116</f>
        <v>0</v>
      </c>
      <c r="D114" s="531">
        <f>'UAT12-Dec'!D116</f>
        <v>0</v>
      </c>
      <c r="E114" s="531">
        <f>'UAT12-Dec'!E116</f>
        <v>0</v>
      </c>
      <c r="F114" s="531">
        <f>'UAT12-Dec'!F116</f>
        <v>0</v>
      </c>
      <c r="G114" s="531">
        <f>'UAT12-Dec'!G116</f>
        <v>0</v>
      </c>
      <c r="H114" s="531">
        <f>'UAT12-Dec'!H116</f>
        <v>0</v>
      </c>
      <c r="I114" s="531">
        <f>'UAT12-Dec'!I116</f>
        <v>39.99</v>
      </c>
      <c r="J114" s="531">
        <f>'UAT12-Dec'!J116</f>
        <v>36.01</v>
      </c>
      <c r="K114" s="532">
        <f>'UAT12-Dec'!K116</f>
        <v>0</v>
      </c>
      <c r="L114" s="553">
        <f>SUM(B114:K114)</f>
        <v>115.47999999999999</v>
      </c>
      <c r="Z114" s="287"/>
      <c r="AA114" s="81"/>
      <c r="AB114" s="81"/>
    </row>
    <row r="115" spans="1:28">
      <c r="A115" s="436" t="s">
        <v>435</v>
      </c>
      <c r="B115" s="531" t="e">
        <f>'UAT10-Oct'!#REF!</f>
        <v>#REF!</v>
      </c>
      <c r="C115" s="531" t="e">
        <f>'UAT10-Oct'!#REF!</f>
        <v>#REF!</v>
      </c>
      <c r="D115" s="531" t="e">
        <f>'UAT10-Oct'!#REF!</f>
        <v>#REF!</v>
      </c>
      <c r="E115" s="531" t="e">
        <f>'UAT10-Oct'!#REF!</f>
        <v>#REF!</v>
      </c>
      <c r="F115" s="531" t="e">
        <f>'UAT10-Oct'!#REF!</f>
        <v>#REF!</v>
      </c>
      <c r="G115" s="531" t="e">
        <f>'UAT10-Oct'!#REF!</f>
        <v>#REF!</v>
      </c>
      <c r="H115" s="531" t="e">
        <f>'UAT10-Oct'!#REF!</f>
        <v>#REF!</v>
      </c>
      <c r="I115" s="531" t="e">
        <f>'UAT10-Oct'!#REF!</f>
        <v>#REF!</v>
      </c>
      <c r="J115" s="531" t="e">
        <f>'UAT10-Oct'!#REF!</f>
        <v>#REF!</v>
      </c>
      <c r="K115" s="532" t="e">
        <f>'UAT10-Oct'!#REF!</f>
        <v>#REF!</v>
      </c>
      <c r="L115" s="589" t="e">
        <f>SUM(B115:K115)</f>
        <v>#REF!</v>
      </c>
      <c r="Z115" s="287"/>
      <c r="AA115" s="81"/>
      <c r="AB115" s="81"/>
    </row>
    <row r="116" spans="1:28" s="154" customFormat="1">
      <c r="A116" s="436"/>
      <c r="B116" s="531"/>
      <c r="C116" s="531"/>
      <c r="D116" s="531"/>
      <c r="E116" s="531"/>
      <c r="F116" s="531"/>
      <c r="G116" s="531"/>
      <c r="H116" s="531"/>
      <c r="I116" s="531"/>
      <c r="J116" s="531"/>
      <c r="K116" s="531"/>
      <c r="L116" s="516"/>
      <c r="M116"/>
      <c r="N116"/>
      <c r="O116"/>
      <c r="P116"/>
      <c r="Q116"/>
      <c r="R116" s="5"/>
      <c r="S116" s="5"/>
      <c r="T116" s="5"/>
      <c r="U116" s="5"/>
      <c r="V116" s="5"/>
      <c r="W116" s="5"/>
      <c r="X116" s="5"/>
      <c r="Y116" s="5"/>
      <c r="Z116" s="287"/>
      <c r="AA116" s="81"/>
      <c r="AB116" s="282"/>
    </row>
    <row r="117" spans="1:28" ht="15.6">
      <c r="A117" s="404" t="s">
        <v>436</v>
      </c>
      <c r="Z117" s="287"/>
      <c r="AA117" s="282"/>
      <c r="AB117" s="81"/>
    </row>
    <row r="118" spans="1:28">
      <c r="A118" s="6" t="s">
        <v>809</v>
      </c>
      <c r="B118" s="528">
        <f>IF(OR(B12="S",B12="C"),0,IF(OR(B12="1",B12="3"),ROUND(20*8*B18/366,5),ROUND(20*'New Hire'!C24*B18/366,5)))</f>
        <v>13.551909999999999</v>
      </c>
      <c r="C118" s="528">
        <f>IF(OR(C12="S",C12="C"),0,IF(OR(C12="1",C12="3"),ROUND(20*8*C18/366,5),ROUND(20*'New Hire'!E24*C18/366,5)))</f>
        <v>13.551909999999999</v>
      </c>
      <c r="D118" s="528">
        <f>IF(OR(D12="S",D12="C"),0,IF(OR(D12="1",D12="3"),ROUND(20*8*D18/366,5),ROUND(20*'New Hire'!G24*D18/366,5)))</f>
        <v>10.841530000000001</v>
      </c>
      <c r="E118" s="528">
        <f>IF(OR(E12="S",E12="C"),0,IF(OR(E12="1",E12="3"),ROUND(20*8*E18/366,5),ROUND(20*'New Hire'!H24*E18/366,5)))</f>
        <v>0</v>
      </c>
      <c r="F118" s="528">
        <f>IF(OR(F12="S",F12="C"),0,IF(OR(F12=1,F12=3),ROUND(20*8*F18/366,5),ROUND(20*'New Hire'!J24*F18/366,5)))</f>
        <v>0</v>
      </c>
      <c r="G118" s="528">
        <f>IF(OR(G12="S",G12="C"),0,IF(OR(G12="1",G12="3"),ROUND(20*8*G18/366,5),ROUND(20*'New Hire'!K24*G18/366,5)))</f>
        <v>4.4590199999999998</v>
      </c>
      <c r="H118" s="528">
        <f>IF(OR(H12="S",H12="C"),0,IF(OR(H12="1",H12="3"),ROUND(20*8*H18/366,5),ROUND(20*'New Hire'!L24*H18/366,5)))</f>
        <v>13.551909999999999</v>
      </c>
      <c r="I118" s="528">
        <f>IF(OR(I12="S",I12="C"),0,IF(OR(I12="1",I12="3"),ROUND(20*8*I18/366,5),ROUND(20*'New Hire'!M24*I18/366,5)))</f>
        <v>13.551909999999999</v>
      </c>
      <c r="J118" s="528">
        <f>IF(OR(J12="S",J12="C"),0,IF(OR(J12="1",J12="3"),ROUND(20*8*J18/366,5),ROUND(20*'New Hire'!N24*J18/366,5)))</f>
        <v>13.551909999999999</v>
      </c>
      <c r="K118" s="528">
        <v>0</v>
      </c>
      <c r="Z118" s="287"/>
      <c r="AA118" s="81"/>
      <c r="AB118" s="81"/>
    </row>
    <row r="119" spans="1:28" s="5" customFormat="1">
      <c r="A119" s="6" t="s">
        <v>810</v>
      </c>
      <c r="B119" s="529">
        <f>IF(OR(B12="S",B12="C"),0,IF(OR(B12="1",B12="3"),ROUND(10*8*B18/366,5),ROUND(10*'New Hire'!C24*B18/366,5)))</f>
        <v>6.7759600000000004</v>
      </c>
      <c r="C119" s="529">
        <f>IF(OR(C12="S",C12="C"),0,IF(OR(C12="1",C12="3"),ROUND(10*8*C18/366,5),ROUND(10*'New Hire'!E24*C18/366,5)))</f>
        <v>6.7759600000000004</v>
      </c>
      <c r="D119" s="529">
        <f>IF(OR(D12="S",D12="C"),0,IF(OR(D12="1",D12="3"),ROUND(10*8*D18/366,5),ROUND(10*'New Hire'!G24*D18/366,5)))</f>
        <v>5.4207700000000001</v>
      </c>
      <c r="E119" s="529">
        <f>IF(OR(E12="S",E12="C"),0,IF(OR(E12="1",E12="3"),ROUND(10*8*E18/366,5),ROUND(10*'New Hire'!H24*E18/366,5)))</f>
        <v>0</v>
      </c>
      <c r="F119" s="529">
        <f>IF(OR(F12="S",F12="C"),0,IF(OR(F12=1,F12=3),ROUND(10*8*F18/366,5),ROUND(10*'New Hire'!J24*F18/366,5)))</f>
        <v>0</v>
      </c>
      <c r="G119" s="529">
        <f>IF(OR(G12="S",G12="C"),0,IF(OR(G12="1",G12="3"),ROUND(10*8*G18/366,5),ROUND(10*'New Hire'!K24*G18/366,5)))</f>
        <v>2.2295099999999999</v>
      </c>
      <c r="H119" s="529">
        <f>IF(OR(H12="S",H12="C"),0,IF(OR(H12="1",H12="3"),ROUND(10*8*H18/366,5),ROUND(10*'New Hire'!L24*H18/366,5)))</f>
        <v>6.7759600000000004</v>
      </c>
      <c r="I119" s="529">
        <f>IF(OR(I12="S",I12="C"),0,IF(OR(I12="1",I12="3"),ROUND(10*8*I18/366,5),ROUND(10*'New Hire'!M24*I18/366,5)))</f>
        <v>6.7759600000000004</v>
      </c>
      <c r="J119" s="529">
        <f>IF(OR(J12="S",J12="C"),0,IF(OR(J12="1",J12="3"),ROUND(10*8*J18/366,5),ROUND(10*'New Hire'!N24*J18/366,5)))</f>
        <v>6.7759600000000004</v>
      </c>
      <c r="K119" s="529">
        <v>0</v>
      </c>
      <c r="L119"/>
      <c r="M119"/>
      <c r="N119"/>
      <c r="O119"/>
      <c r="P119"/>
      <c r="Q119"/>
      <c r="Z119" s="287"/>
      <c r="AA119" s="81"/>
      <c r="AB119" s="80"/>
    </row>
    <row r="120" spans="1:28" s="5" customFormat="1">
      <c r="A120" s="436" t="s">
        <v>779</v>
      </c>
      <c r="B120" s="528" t="e">
        <f>IF(B106&lt;&gt;0,0,IF('New Hire'!C78=1,ROUND(25/10*B14%/366,5)*B18,0)+'UAT12-Dec'!B122)</f>
        <v>#REF!</v>
      </c>
      <c r="C120" s="528" t="e">
        <f>IF(C106&lt;&gt;0,0,IF('New Hire'!E78=1,ROUND(25/10*C14%/366,5)*C18,0)+'UAT12-Dec'!C122)</f>
        <v>#REF!</v>
      </c>
      <c r="D120" s="528">
        <f>IF(D106&lt;&gt;0,0,IF('New Hire'!G78=1,ROUND(25/10*D14%/366,5)*D18,0)+'UAT12-Dec'!E122)</f>
        <v>0</v>
      </c>
      <c r="E120" s="528" t="e">
        <f>IF(E106&lt;&gt;0,0,IF('New Hire'!H78=1,ROUND(25/10*E14%/366,5)*E18,0)+'UAT12-Dec'!F122)</f>
        <v>#REF!</v>
      </c>
      <c r="F120" s="528" t="e">
        <f>IF(F106&lt;&gt;0,0,IF('New Hire'!J78=1,ROUND(25/10*F14%/366,5)*F18,0)+'UAT12-Dec'!G122)</f>
        <v>#REF!</v>
      </c>
      <c r="G120" s="528" t="e">
        <f>IF(G106&lt;&gt;0,0,IF('New Hire'!K78=1,ROUND(25/10*G14%/366,5)*G18,0)+'UAT12-Dec'!H122)</f>
        <v>#REF!</v>
      </c>
      <c r="H120" s="528" t="e">
        <f>IF(H106&lt;&gt;0,0,IF('New Hire'!L78=1,ROUND(25/10*H14%/366,5)*H18,0)+'UAT12-Dec'!I122)</f>
        <v>#REF!</v>
      </c>
      <c r="I120" s="528" t="e">
        <f>IF(I106&lt;&gt;0,0,IF('New Hire'!M78=1,ROUND(25/10*I14%/366,5)*I18,0)+'UAT12-Dec'!J122)</f>
        <v>#REF!</v>
      </c>
      <c r="J120" s="528" t="e">
        <f>IF(J106&lt;&gt;0,0,IF('New Hire'!N78=1,ROUND(25/10*J14%/366,5)*J18,0)+'UAT12-Dec'!K122)</f>
        <v>#REF!</v>
      </c>
      <c r="K120" s="528" t="e">
        <f>IF(K106&lt;&gt;0,0,IF('New Hire'!P78=1,ROUND(25/10*K14%/366,5)*K18,0)+'UAT12-Dec'!L122)</f>
        <v>#REF!</v>
      </c>
      <c r="L120"/>
      <c r="M120"/>
      <c r="N120"/>
      <c r="O120"/>
      <c r="P120"/>
      <c r="Q120"/>
      <c r="Z120" s="287"/>
      <c r="AA120" s="81"/>
      <c r="AB120" s="80"/>
    </row>
    <row r="121" spans="1:28" s="5" customFormat="1">
      <c r="A121" s="436" t="s">
        <v>780</v>
      </c>
      <c r="B121" s="529">
        <f>IF(B12="C",0,IF(B107&lt;&gt;0,0,IF('New Hire'!C78=1,0,ROUND(5/5*B14%/366,5)*B18)+'UAT12-Dec'!B123))</f>
        <v>0</v>
      </c>
      <c r="C121" s="529" t="e">
        <f>IF(C12="C",0,IF(C107&lt;&gt;0,0,IF('New Hire'!D78=1,0,ROUND(5/5*C14%/366,5)*C18)+'UAT12-Dec'!C123))</f>
        <v>#REF!</v>
      </c>
      <c r="D121" s="529" t="e">
        <f>IF(D12="C",0,IF(D107&lt;&gt;0,0,IF('New Hire'!E78=1,0,ROUND(5/5*D14%/366,5)*D18)+'UAT12-Dec'!D123))</f>
        <v>#REF!</v>
      </c>
      <c r="E121" s="529">
        <f>IF(E12="C",0,IF(E107&lt;&gt;0,0,IF('New Hire'!F78=1,0,ROUND(5/5*E14%/366,5)*E18)+'UAT12-Dec'!E123))</f>
        <v>0</v>
      </c>
      <c r="F121" s="529">
        <f>IF(F12="C",0,IF(F107&lt;&gt;0,0,IF('New Hire'!G78=1,0,ROUND(5/5*F14%/366,5)*F18)+'UAT12-Dec'!F123))</f>
        <v>0</v>
      </c>
      <c r="G121" s="529">
        <f>IF(G12="C",0,IF(G107&lt;&gt;0,0,IF('New Hire'!H78=1,0,ROUND(5/5*G14%/366,5)*G18)+'UAT12-Dec'!G123))</f>
        <v>9.6000000000000002E-4</v>
      </c>
      <c r="H121" s="529">
        <f>IF(H12="C",0,IF(H107&lt;&gt;0,0,IF('New Hire'!I78=1,0,ROUND(5/5*H14%/366,5)*H18)+'UAT12-Dec'!H123))</f>
        <v>0</v>
      </c>
      <c r="I121" s="529">
        <f>IF(I12="C",0,IF(I107&lt;&gt;0,0,IF('New Hire'!J78=1,0,ROUND(5/5*I14%/366,5)*I18)+'UAT12-Dec'!I123))</f>
        <v>0</v>
      </c>
      <c r="J121" s="529">
        <f>IF(J12="C",0,IF(J107&lt;&gt;0,0,IF('New Hire'!K78=1,0,ROUND(5/5*J14%/366,5)*J18)+'UAT12-Dec'!J123))</f>
        <v>9.3000000000000005E-4</v>
      </c>
      <c r="K121" s="529">
        <f>IF(K12="C",0,IF(K107&lt;&gt;0,0,IF('New Hire'!L78=1,0,ROUND(5/5*K14%/366,5)*K18)+'UAT12-Dec'!K123))</f>
        <v>0</v>
      </c>
      <c r="L121"/>
      <c r="M121"/>
      <c r="N121"/>
      <c r="O121"/>
      <c r="P121"/>
      <c r="Q121"/>
      <c r="Z121" s="287"/>
      <c r="AA121" s="81"/>
      <c r="AB121" s="80"/>
    </row>
    <row r="122" spans="1:28" s="5" customFormat="1">
      <c r="A122" s="452" t="s">
        <v>1172</v>
      </c>
      <c r="B122" s="611"/>
      <c r="C122" s="611"/>
      <c r="D122" s="611"/>
      <c r="E122" s="611"/>
      <c r="F122" s="611"/>
      <c r="G122" s="611"/>
      <c r="H122" s="611"/>
      <c r="I122" s="611"/>
      <c r="J122" s="621">
        <v>10</v>
      </c>
      <c r="K122" s="611"/>
      <c r="L122" s="503"/>
      <c r="M122"/>
      <c r="N122"/>
      <c r="O122"/>
      <c r="P122"/>
      <c r="Q122"/>
      <c r="Z122" s="287"/>
      <c r="AA122" s="81"/>
      <c r="AB122" s="80"/>
    </row>
    <row r="123" spans="1:28" s="5" customFormat="1">
      <c r="A123" s="436"/>
      <c r="B123" s="526"/>
      <c r="C123" s="526"/>
      <c r="D123" s="526"/>
      <c r="E123" s="526"/>
      <c r="F123" s="526"/>
      <c r="G123" s="526"/>
      <c r="H123" s="526"/>
      <c r="I123" s="526"/>
      <c r="J123" s="526"/>
      <c r="K123" s="526"/>
      <c r="L123"/>
      <c r="M123"/>
      <c r="N123"/>
      <c r="O123"/>
      <c r="P123"/>
      <c r="Q123"/>
      <c r="Z123" s="287"/>
      <c r="AA123" s="81"/>
      <c r="AB123" s="80"/>
    </row>
    <row r="124" spans="1:28" s="5" customFormat="1" ht="15.6">
      <c r="A124" s="404" t="s">
        <v>622</v>
      </c>
      <c r="D124"/>
      <c r="E124"/>
      <c r="F124"/>
      <c r="G124"/>
      <c r="H124"/>
      <c r="I124"/>
      <c r="J124"/>
      <c r="K124"/>
      <c r="L124"/>
      <c r="M124"/>
      <c r="N124"/>
      <c r="O124"/>
      <c r="P124"/>
      <c r="Q124"/>
      <c r="Z124" s="287"/>
      <c r="AA124" s="81"/>
      <c r="AB124" s="80"/>
    </row>
    <row r="125" spans="1:28" s="5" customFormat="1">
      <c r="A125" s="514" t="s">
        <v>477</v>
      </c>
      <c r="B125" s="515">
        <v>8000000</v>
      </c>
      <c r="C125" s="515">
        <v>11000000</v>
      </c>
      <c r="D125" s="515">
        <v>16000000</v>
      </c>
      <c r="E125"/>
      <c r="F125" s="515">
        <v>4200</v>
      </c>
      <c r="G125" s="515">
        <v>55000000</v>
      </c>
      <c r="H125" s="515">
        <v>10000000</v>
      </c>
      <c r="I125" s="515">
        <v>11500000</v>
      </c>
      <c r="J125" s="515">
        <v>7000000</v>
      </c>
      <c r="K125"/>
      <c r="L125"/>
      <c r="M125"/>
      <c r="N125"/>
      <c r="O125"/>
      <c r="P125"/>
      <c r="Q125"/>
      <c r="Z125"/>
      <c r="AA125" s="81"/>
      <c r="AB125" s="80"/>
    </row>
    <row r="126" spans="1:28" s="5" customFormat="1">
      <c r="A126" s="436" t="s">
        <v>750</v>
      </c>
      <c r="B126" s="443"/>
      <c r="C126" s="443"/>
      <c r="D126" s="443"/>
      <c r="E126" s="515">
        <v>250</v>
      </c>
      <c r="F126" s="443"/>
      <c r="G126" s="443"/>
      <c r="H126" s="443"/>
      <c r="I126" s="443"/>
      <c r="J126" s="443"/>
      <c r="K126" s="515">
        <v>900000</v>
      </c>
      <c r="L126"/>
      <c r="M126"/>
      <c r="N126"/>
      <c r="O126"/>
      <c r="P126"/>
      <c r="Q126"/>
      <c r="Z126"/>
      <c r="AA126" s="81"/>
      <c r="AB126" s="80"/>
    </row>
    <row r="127" spans="1:28" s="5" customFormat="1">
      <c r="A127" s="442" t="s">
        <v>494</v>
      </c>
      <c r="B127" s="443">
        <v>800000</v>
      </c>
      <c r="C127" s="443">
        <v>1100000</v>
      </c>
      <c r="D127" s="443">
        <v>0</v>
      </c>
      <c r="E127" s="443">
        <v>0</v>
      </c>
      <c r="F127" s="443">
        <v>0</v>
      </c>
      <c r="G127" s="443">
        <v>5500000</v>
      </c>
      <c r="H127" s="443">
        <v>1000000</v>
      </c>
      <c r="I127" s="443">
        <v>0</v>
      </c>
      <c r="J127" s="443">
        <v>1400000</v>
      </c>
      <c r="K127" s="443">
        <f>'New Hire'!P34</f>
        <v>0</v>
      </c>
      <c r="L127"/>
      <c r="M127"/>
      <c r="N127"/>
      <c r="O127"/>
      <c r="P127"/>
      <c r="Q127"/>
      <c r="Z127"/>
      <c r="AA127" s="81"/>
      <c r="AB127" s="80"/>
    </row>
    <row r="128" spans="1:28" s="5" customFormat="1">
      <c r="A128" s="408" t="s">
        <v>566</v>
      </c>
      <c r="B128" s="443">
        <v>1600000</v>
      </c>
      <c r="C128" s="443">
        <v>2350000</v>
      </c>
      <c r="D128" s="443">
        <v>0</v>
      </c>
      <c r="E128" s="443">
        <v>0</v>
      </c>
      <c r="F128" s="443">
        <v>0</v>
      </c>
      <c r="G128" s="443">
        <v>11000000</v>
      </c>
      <c r="H128" s="443">
        <v>2000000</v>
      </c>
      <c r="I128" s="443">
        <v>0</v>
      </c>
      <c r="J128" s="443">
        <v>2100000</v>
      </c>
      <c r="K128" s="443">
        <f>'New Hire'!P36</f>
        <v>0</v>
      </c>
      <c r="L128"/>
      <c r="M128"/>
      <c r="N128"/>
      <c r="O128"/>
      <c r="P128"/>
      <c r="Q128"/>
      <c r="Z128"/>
      <c r="AA128" s="81"/>
      <c r="AB128" s="80"/>
    </row>
    <row r="129" spans="1:28" s="5" customFormat="1">
      <c r="A129" s="416" t="s">
        <v>493</v>
      </c>
      <c r="B129" s="443"/>
      <c r="C129" s="443"/>
      <c r="D129" s="443"/>
      <c r="E129" s="443"/>
      <c r="F129" s="443"/>
      <c r="G129" s="443"/>
      <c r="H129" s="443"/>
      <c r="I129" s="443"/>
      <c r="J129" s="443"/>
      <c r="K129" s="443"/>
      <c r="L129"/>
      <c r="M129"/>
      <c r="N129"/>
      <c r="O129"/>
      <c r="P129"/>
      <c r="Q129"/>
      <c r="Z129"/>
      <c r="AA129" s="81"/>
      <c r="AB129" s="80"/>
    </row>
    <row r="130" spans="1:28">
      <c r="A130" s="405" t="s">
        <v>528</v>
      </c>
      <c r="B130" s="443"/>
      <c r="C130" s="443"/>
      <c r="D130" s="443"/>
      <c r="E130" s="443"/>
      <c r="F130" s="443"/>
      <c r="G130" s="443"/>
      <c r="H130" s="443"/>
      <c r="I130" s="443"/>
      <c r="J130" s="443"/>
      <c r="K130" s="443"/>
      <c r="AA130" s="81"/>
      <c r="AB130" s="81"/>
    </row>
    <row r="131" spans="1:28">
      <c r="A131" s="416" t="s">
        <v>592</v>
      </c>
      <c r="B131" s="443"/>
      <c r="C131" s="443"/>
      <c r="D131" s="443"/>
      <c r="E131" s="443"/>
      <c r="F131" s="443"/>
      <c r="G131" s="443"/>
      <c r="H131" s="443"/>
      <c r="I131" s="443"/>
      <c r="J131" s="443"/>
      <c r="K131" s="443"/>
      <c r="AA131" s="81"/>
      <c r="AB131" s="81"/>
    </row>
    <row r="132" spans="1:28">
      <c r="A132" s="408" t="s">
        <v>491</v>
      </c>
      <c r="B132" s="443"/>
      <c r="C132" s="443"/>
      <c r="D132" s="443"/>
      <c r="E132" s="443"/>
      <c r="F132" s="443"/>
      <c r="G132" s="443"/>
      <c r="H132" s="443"/>
      <c r="I132" s="443"/>
      <c r="J132" s="443"/>
      <c r="K132" s="443"/>
      <c r="AA132" s="81"/>
      <c r="AB132" s="81"/>
    </row>
    <row r="133" spans="1:28">
      <c r="A133" s="408" t="s">
        <v>497</v>
      </c>
      <c r="B133" s="443"/>
      <c r="C133" s="443"/>
      <c r="D133" s="443"/>
      <c r="E133" s="443"/>
      <c r="F133" s="443"/>
      <c r="G133" s="443"/>
      <c r="H133" s="443"/>
      <c r="I133" s="443"/>
      <c r="J133" s="443"/>
      <c r="K133" s="443"/>
    </row>
    <row r="134" spans="1:28">
      <c r="A134" s="6" t="s">
        <v>623</v>
      </c>
      <c r="B134" s="443"/>
      <c r="C134" s="443"/>
      <c r="D134" s="443"/>
      <c r="E134" s="443"/>
      <c r="F134" s="443"/>
      <c r="G134" s="443"/>
      <c r="H134" s="443"/>
      <c r="I134" s="443"/>
      <c r="J134" s="443"/>
      <c r="K134" s="443"/>
    </row>
    <row r="135" spans="1:28">
      <c r="A135" s="6" t="s">
        <v>625</v>
      </c>
      <c r="B135" s="443"/>
      <c r="C135" s="443"/>
      <c r="D135" s="443"/>
      <c r="E135" s="443"/>
      <c r="F135" s="443"/>
      <c r="G135" s="443"/>
      <c r="H135" s="443"/>
      <c r="I135" s="443"/>
      <c r="J135" s="443"/>
      <c r="K135" s="443"/>
    </row>
    <row r="136" spans="1:28">
      <c r="A136" s="405" t="s">
        <v>606</v>
      </c>
      <c r="B136" s="443"/>
      <c r="C136" s="443"/>
      <c r="D136" s="443"/>
      <c r="E136" s="443"/>
      <c r="F136" s="443">
        <v>100</v>
      </c>
      <c r="G136" s="443"/>
      <c r="H136" s="443"/>
      <c r="I136" s="443"/>
      <c r="J136" s="443"/>
      <c r="K136" s="443"/>
    </row>
    <row r="137" spans="1:28">
      <c r="A137" s="405" t="s">
        <v>607</v>
      </c>
      <c r="B137" s="443"/>
      <c r="C137" s="443"/>
      <c r="D137" s="443"/>
      <c r="E137" s="443"/>
      <c r="F137" s="443">
        <v>200</v>
      </c>
      <c r="G137" s="443"/>
      <c r="H137" s="443"/>
      <c r="I137" s="443"/>
      <c r="J137" s="443"/>
      <c r="K137" s="443"/>
    </row>
    <row r="138" spans="1:28" ht="42.6" customHeight="1">
      <c r="A138" s="6" t="s">
        <v>626</v>
      </c>
      <c r="B138" s="443">
        <f t="shared" ref="B138:K138" si="42">IF(OR(B20="A",B20="B"),B125,(B125-B136-B137)*B80)</f>
        <v>8000000</v>
      </c>
      <c r="C138" s="443">
        <f t="shared" si="42"/>
        <v>11000000</v>
      </c>
      <c r="D138" s="443">
        <f t="shared" si="42"/>
        <v>16000000</v>
      </c>
      <c r="E138" s="443">
        <f t="shared" si="42"/>
        <v>0</v>
      </c>
      <c r="F138" s="443">
        <f t="shared" si="42"/>
        <v>3900</v>
      </c>
      <c r="G138" s="443">
        <f t="shared" si="42"/>
        <v>55000000</v>
      </c>
      <c r="H138" s="443">
        <f t="shared" si="42"/>
        <v>10000000</v>
      </c>
      <c r="I138" s="443">
        <f t="shared" si="42"/>
        <v>11500000</v>
      </c>
      <c r="J138" s="443">
        <f t="shared" si="42"/>
        <v>7000000</v>
      </c>
      <c r="K138" s="443">
        <f t="shared" si="42"/>
        <v>0</v>
      </c>
    </row>
    <row r="139" spans="1:28">
      <c r="A139" s="6" t="s">
        <v>628</v>
      </c>
      <c r="B139" s="443">
        <f t="shared" ref="B139:H139" si="43">IF(B12="C",0,IF(OR(B20="A",B20="B"),0,ROUND(B138*$B$5,0)+ROUND(B127*$B$5,0)+ROUND(B128*$B$5,0)+ROUND(B130*$B$5,0)))</f>
        <v>0</v>
      </c>
      <c r="C139" s="443">
        <f t="shared" si="43"/>
        <v>0</v>
      </c>
      <c r="D139" s="443">
        <f t="shared" si="43"/>
        <v>0</v>
      </c>
      <c r="E139" s="443">
        <f t="shared" si="43"/>
        <v>0</v>
      </c>
      <c r="F139" s="443">
        <f t="shared" si="43"/>
        <v>91650000</v>
      </c>
      <c r="G139" s="443">
        <f t="shared" si="43"/>
        <v>0</v>
      </c>
      <c r="H139" s="443">
        <f t="shared" si="43"/>
        <v>0</v>
      </c>
      <c r="I139" s="443"/>
      <c r="J139" s="443">
        <f>IF(J12="C",0,IF(OR(J20="A",J20="B"),0,ROUND(J125*$B$5,0)+ROUND(J127*$B$5,0)+ROUND(J128*$B$5,0)+ROUND(J130*$B$5,0)))</f>
        <v>0</v>
      </c>
      <c r="K139" s="443">
        <f>IF(K12="C",0,IF(OR(K20="A",K20="B"),0,ROUND(K125*$B$5,0)+ROUND(K127*$B$5,0)+ROUND(K128*$B$5,0)+ROUND(K130*$B$5,0)))</f>
        <v>0</v>
      </c>
    </row>
    <row r="140" spans="1:28">
      <c r="A140" s="6" t="s">
        <v>657</v>
      </c>
      <c r="B140" s="5">
        <v>0</v>
      </c>
      <c r="C140" s="5">
        <v>0</v>
      </c>
      <c r="D140" s="5">
        <v>0</v>
      </c>
      <c r="E140" s="5">
        <v>0</v>
      </c>
      <c r="F140" s="5">
        <v>0</v>
      </c>
      <c r="G140" s="5">
        <v>0</v>
      </c>
      <c r="H140" s="5">
        <v>0</v>
      </c>
      <c r="I140" s="5">
        <v>0</v>
      </c>
      <c r="J140" s="5">
        <v>0</v>
      </c>
      <c r="K140" s="5">
        <v>0</v>
      </c>
    </row>
    <row r="141" spans="1:28">
      <c r="A141" s="6" t="s">
        <v>812</v>
      </c>
      <c r="B141" s="5">
        <v>0</v>
      </c>
      <c r="C141" s="5">
        <v>50</v>
      </c>
      <c r="D141">
        <v>0</v>
      </c>
      <c r="E141">
        <v>0</v>
      </c>
      <c r="F141">
        <v>0</v>
      </c>
      <c r="G141">
        <v>0</v>
      </c>
      <c r="H141">
        <v>0</v>
      </c>
      <c r="I141">
        <v>0</v>
      </c>
      <c r="J141">
        <v>0</v>
      </c>
      <c r="K141">
        <v>0</v>
      </c>
    </row>
    <row r="142" spans="1:28" ht="14.4" thickBot="1"/>
    <row r="143" spans="1:28" ht="23.4">
      <c r="A143" s="765" t="s">
        <v>879</v>
      </c>
      <c r="B143" s="766"/>
      <c r="C143" s="766"/>
      <c r="D143" s="766"/>
      <c r="E143" s="766"/>
      <c r="F143" s="766"/>
      <c r="G143" s="766"/>
      <c r="H143" s="766"/>
      <c r="I143" s="766"/>
      <c r="J143" s="766"/>
      <c r="K143" s="767"/>
      <c r="L143" s="572"/>
    </row>
    <row r="144" spans="1:28">
      <c r="A144" s="573" t="s">
        <v>862</v>
      </c>
      <c r="B144" s="334">
        <f>'UAT12-Dec'!B108</f>
        <v>164825366</v>
      </c>
      <c r="C144" s="334">
        <f>'UAT12-Dec'!C108</f>
        <v>122121713</v>
      </c>
      <c r="D144" s="607">
        <f>'UAT12-Dec'!E108</f>
        <v>183336986</v>
      </c>
      <c r="E144" s="334">
        <f>'UAT12-Dec'!F108</f>
        <v>728334325</v>
      </c>
      <c r="F144" s="334">
        <f>'UAT12-Dec'!G108</f>
        <v>977365112</v>
      </c>
      <c r="G144" s="334">
        <f>'UAT12-Dec'!H108</f>
        <v>542573914</v>
      </c>
      <c r="H144" s="334">
        <f>'UAT12-Dec'!I108</f>
        <v>183581558</v>
      </c>
      <c r="I144" s="334">
        <f>'UAT12-Dec'!J108</f>
        <v>555651070</v>
      </c>
      <c r="J144" s="432">
        <f>'UAT12-Dec'!K108+J99</f>
        <v>147650413</v>
      </c>
      <c r="K144" s="574">
        <f>'UAT12-Dec'!L108</f>
        <v>49795448</v>
      </c>
    </row>
    <row r="145" spans="1:11">
      <c r="A145" s="573" t="s">
        <v>486</v>
      </c>
      <c r="B145" s="334">
        <f>'UAT12-Dec'!B109</f>
        <v>2276309</v>
      </c>
      <c r="C145" s="334">
        <f>'UAT12-Dec'!C109</f>
        <v>1455462</v>
      </c>
      <c r="D145" s="607">
        <f>'UAT12-Dec'!E109</f>
        <v>18333698</v>
      </c>
      <c r="E145" s="334">
        <f>'UAT12-Dec'!F109</f>
        <v>134670148</v>
      </c>
      <c r="F145" s="334">
        <f>'UAT12-Dec'!G109</f>
        <v>195473023</v>
      </c>
      <c r="G145" s="334">
        <f>'UAT12-Dec'!H109</f>
        <v>66601039</v>
      </c>
      <c r="H145" s="334">
        <f>'UAT12-Dec'!I109</f>
        <v>7285904</v>
      </c>
      <c r="I145" s="334">
        <f>'UAT12-Dec'!J109</f>
        <v>111130214</v>
      </c>
      <c r="J145" s="334">
        <f>'UAT12-Dec'!K109</f>
        <v>4194239</v>
      </c>
      <c r="K145" s="574">
        <f>'UAT12-Dec'!L109</f>
        <v>4979545</v>
      </c>
    </row>
    <row r="146" spans="1:11">
      <c r="A146" s="573" t="s">
        <v>487</v>
      </c>
      <c r="B146" s="334">
        <f>IF(OR('UAT12-Dec'!B22="A",'UAT12-Dec'!B22="C"),'UAT12-Dec'!B110,0)</f>
        <v>10615500</v>
      </c>
      <c r="C146" s="334">
        <f>IF(OR('UAT12-Dec'!C22="A",'UAT12-Dec'!C22="C"),'UAT12-Dec'!C110,0)</f>
        <v>2396250</v>
      </c>
      <c r="D146" s="607">
        <f>IF(OR('UAT12-Dec'!E22="A",'UAT12-Dec'!E22="C"),'UAT12-Dec'!E110,0)</f>
        <v>0</v>
      </c>
      <c r="E146" s="334">
        <f>IF(OR('UAT12-Dec'!F22="A",'UAT12-Dec'!F22="C"),'UAT12-Dec'!F110,0)</f>
        <v>2622000</v>
      </c>
      <c r="F146" s="334">
        <f>IF(OR('UAT12-Dec'!G22="A",'UAT12-Dec'!G22="C"),'UAT12-Dec'!G110,0)</f>
        <v>0</v>
      </c>
      <c r="G146" s="334">
        <f>IF(OR('UAT12-Dec'!H22="A",'UAT12-Dec'!H22="C"),'UAT12-Dec'!H110,0)</f>
        <v>35389000</v>
      </c>
      <c r="H146" s="334">
        <f>IF(OR('UAT12-Dec'!I22="A",'UAT12-Dec'!I22="C"),'UAT12-Dec'!I110,0)</f>
        <v>0</v>
      </c>
      <c r="I146" s="334">
        <f>IF(OR('UAT12-Dec'!J22="A",'UAT12-Dec'!J22="C"),'UAT12-Dec'!J110,0)</f>
        <v>0</v>
      </c>
      <c r="J146" s="334">
        <f>IF(OR('UAT12-Dec'!K22="A",'UAT12-Dec'!K22="C"),'UAT12-Dec'!K110,0)</f>
        <v>0</v>
      </c>
      <c r="K146" s="574">
        <f>IF(OR('UAT12-Dec'!L22="A",'UAT12-Dec'!L22="C"),'UAT12-Dec'!L110,0)</f>
        <v>0</v>
      </c>
    </row>
    <row r="147" spans="1:11">
      <c r="A147" s="575" t="s">
        <v>880</v>
      </c>
      <c r="B147" s="334">
        <f>IF(OR('UAT12-Dec'!B22="A",'UAT12-Dec'!B22="C"),B23*12,0)</f>
        <v>108000000</v>
      </c>
      <c r="C147" s="334">
        <f>IF(OR('UAT12-Dec'!C22="A",'UAT12-Dec'!C22="C"),C23*12,0)</f>
        <v>108000000</v>
      </c>
      <c r="D147" s="607">
        <f>IF(OR('UAT12-Dec'!E22="A",'UAT12-Dec'!E22="C"),D23*12,0)</f>
        <v>0</v>
      </c>
      <c r="E147" s="334">
        <f>IF(OR('UAT12-Dec'!F22="A",'UAT12-Dec'!F22="C"),E23*12,0)</f>
        <v>108000000</v>
      </c>
      <c r="F147" s="334">
        <f>IF(OR('UAT12-Dec'!G22="A",'UAT12-Dec'!G22="C"),F23*12,0)</f>
        <v>0</v>
      </c>
      <c r="G147" s="334">
        <f>IF(OR('UAT12-Dec'!H22="A",'UAT12-Dec'!H22="C"),G23*12,0)</f>
        <v>108000000</v>
      </c>
      <c r="H147" s="334">
        <f>IF(OR('UAT12-Dec'!I22="A",'UAT12-Dec'!I22="C"),H23*12,0)</f>
        <v>108000000</v>
      </c>
      <c r="I147" s="334">
        <f>IF(OR('UAT12-Dec'!J22="A",'UAT12-Dec'!J22="C"),I23*12,0)</f>
        <v>0</v>
      </c>
      <c r="J147" s="334">
        <f>IF(OR('UAT12-Dec'!K22="A",'UAT12-Dec'!K22="C"),J23*12,0)</f>
        <v>108000000</v>
      </c>
      <c r="K147" s="574">
        <f>IF(OR('UAT12-Dec'!L22="A",'UAT12-Dec'!L22="C"),K23*12,0)</f>
        <v>0</v>
      </c>
    </row>
    <row r="148" spans="1:11">
      <c r="A148" s="575" t="s">
        <v>881</v>
      </c>
      <c r="B148" s="334">
        <f>IF(OR('UAT12-Dec'!B22="A",'UAT12-Dec'!B22="C"),'UAT12-Dec'!B24*12*'UAT12-Dec'!B23,0)</f>
        <v>43200000</v>
      </c>
      <c r="C148" s="334">
        <f>IF(OR('UAT12-Dec'!C22="A",'UAT12-Dec'!C22="C"),'UAT12-Dec'!C24*12*'UAT12-Dec'!C23,0)</f>
        <v>0</v>
      </c>
      <c r="D148" s="607">
        <f>IF(OR('UAT12-Dec'!E22="A",'UAT12-Dec'!E22="C"),'UAT12-Dec'!E24*12*'UAT12-Dec'!E23,0)</f>
        <v>0</v>
      </c>
      <c r="E148" s="334">
        <f>IF(OR('UAT12-Dec'!F22="A",'UAT12-Dec'!F22="C"),'UAT12-Dec'!F24*12*'UAT12-Dec'!F23,0)</f>
        <v>0</v>
      </c>
      <c r="F148" s="334">
        <f>IF(OR('UAT12-Dec'!G22="A",'UAT12-Dec'!G22="C"),'UAT12-Dec'!G24*12*'UAT12-Dec'!G23,0)</f>
        <v>0</v>
      </c>
      <c r="G148" s="334">
        <f>IF(OR('UAT12-Dec'!H22="A",'UAT12-Dec'!H22="C"),'UAT12-Dec'!H24*12*'UAT12-Dec'!H23,0)</f>
        <v>0</v>
      </c>
      <c r="H148" s="334">
        <f>IF(OR('UAT12-Dec'!I22="A",'UAT12-Dec'!I22="C"),'UAT12-Dec'!I24*12*'UAT12-Dec'!I23,0)</f>
        <v>0</v>
      </c>
      <c r="I148" s="334">
        <f>IF(OR('UAT12-Dec'!J22="A",'UAT12-Dec'!J22="C"),'UAT12-Dec'!J24*12*'UAT12-Dec'!J23,0)</f>
        <v>0</v>
      </c>
      <c r="J148" s="334">
        <f>IF(OR('UAT12-Dec'!K22="A",'UAT12-Dec'!K22="C"),'UAT12-Dec'!K24*12*'UAT12-Dec'!K23,0)</f>
        <v>0</v>
      </c>
      <c r="K148" s="574">
        <f>IF(OR('UAT12-Dec'!L22="A",'UAT12-Dec'!L22="C"),'UAT12-Dec'!L24*12*'UAT12-Dec'!L23,0)</f>
        <v>0</v>
      </c>
    </row>
    <row r="149" spans="1:11">
      <c r="A149" s="575" t="s">
        <v>882</v>
      </c>
      <c r="B149" s="334">
        <f>MAX(B144-B146-B147-B148,0)</f>
        <v>3009866</v>
      </c>
      <c r="C149" s="334">
        <f t="shared" ref="C149:K149" si="44">MAX(C144-C146-C147-C148,0)</f>
        <v>11725463</v>
      </c>
      <c r="D149" s="607">
        <f t="shared" si="44"/>
        <v>183336986</v>
      </c>
      <c r="E149" s="334">
        <f t="shared" si="44"/>
        <v>617712325</v>
      </c>
      <c r="F149" s="334">
        <f t="shared" si="44"/>
        <v>977365112</v>
      </c>
      <c r="G149" s="334">
        <f t="shared" si="44"/>
        <v>399184914</v>
      </c>
      <c r="H149" s="334">
        <f t="shared" si="44"/>
        <v>75581558</v>
      </c>
      <c r="I149" s="334">
        <f t="shared" si="44"/>
        <v>555651070</v>
      </c>
      <c r="J149" s="334">
        <f t="shared" si="44"/>
        <v>39650413</v>
      </c>
      <c r="K149" s="574">
        <f t="shared" si="44"/>
        <v>49795448</v>
      </c>
    </row>
    <row r="150" spans="1:11">
      <c r="A150" s="575" t="s">
        <v>883</v>
      </c>
      <c r="B150" s="334">
        <f>ROUND(B149/12,0)</f>
        <v>250822</v>
      </c>
      <c r="C150" s="334">
        <f t="shared" ref="C150:K150" si="45">ROUND(C149/12,0)</f>
        <v>977122</v>
      </c>
      <c r="D150" s="607">
        <f>ROUND(D149/9,0)</f>
        <v>20370776</v>
      </c>
      <c r="E150" s="334">
        <f t="shared" si="45"/>
        <v>51476027</v>
      </c>
      <c r="F150" s="334">
        <f t="shared" si="45"/>
        <v>81447093</v>
      </c>
      <c r="G150" s="334">
        <f t="shared" si="45"/>
        <v>33265410</v>
      </c>
      <c r="H150" s="334">
        <f t="shared" si="45"/>
        <v>6298463</v>
      </c>
      <c r="I150" s="334">
        <f t="shared" si="45"/>
        <v>46304256</v>
      </c>
      <c r="J150" s="334">
        <f t="shared" si="45"/>
        <v>3304201</v>
      </c>
      <c r="K150" s="574">
        <f t="shared" si="45"/>
        <v>4149621</v>
      </c>
    </row>
    <row r="151" spans="1:11">
      <c r="A151" s="575" t="s">
        <v>884</v>
      </c>
      <c r="B151" s="334">
        <f>IF(OR('UAT12-Dec'!B22="A",'UAT12-Dec'!B22="C"),ROUND(MAX(B150*{5;10;15;20;25;30;35}%-{0;0.25;0.75;1.65;3.25;5.85;9.85}*1000000,0),0),IF('UAT12-Dec'!B22="B",IF(B150&lt;2000000,0,ROUND(B150*10%,0)),ROUND(B150*20%,0)))</f>
        <v>12541</v>
      </c>
      <c r="C151" s="334">
        <f>IF(OR('UAT12-Dec'!C22="A",'UAT12-Dec'!C22="C"),ROUND(MAX(C150*{5;10;15;20;25;30;35}%-{0;0.25;0.75;1.65;3.25;5.85;9.85}*1000000,0),0),IF('UAT12-Dec'!C22="B",IF(C150&lt;2000000,0,ROUND(C150*10%,0)),ROUND(C150*20%,0)))</f>
        <v>48856</v>
      </c>
      <c r="D151" s="607">
        <f>IF(OR('UAT12-Dec'!E22="A",'UAT12-Dec'!E22="C"),ROUND(MAX(D150*{5;10;15;20;25;30;35}%-{0;0.25;0.75;1.65;3.25;5.85;9.85}*1000000,0),0),IF('UAT12-Dec'!E22="B",IF(D150&lt;2000000,0,ROUND(D150*10%,0)),ROUND(D150*20%,0)))</f>
        <v>2037078</v>
      </c>
      <c r="E151" s="334">
        <f>IF(OR('UAT12-Dec'!F22="A",'UAT12-Dec'!F22="C"),ROUND(MAX(E150*{5;10;15;20;25;30;35}%-{0;0.25;0.75;1.65;3.25;5.85;9.85}*1000000,0),0),IF('UAT12-Dec'!F22="B",IF(E150&lt;2000000,0,ROUND(E150*10%,0)),ROUND(E150*20%,0)))</f>
        <v>9619007</v>
      </c>
      <c r="F151" s="334">
        <f>IF(OR('UAT12-Dec'!G22="A",'UAT12-Dec'!G22="C"),ROUND(MAX(F150*{5;10;15;20;25;30;35}%-{0;0.25;0.75;1.65;3.25;5.85;9.85}*1000000,0),0),IF('UAT12-Dec'!G22="B",IF(F150&lt;2000000,0,ROUND(F150*10%,0)),ROUND(F150*20%,0)))</f>
        <v>16289419</v>
      </c>
      <c r="G151" s="334">
        <f>IF(OR('UAT12-Dec'!H22="A",'UAT12-Dec'!H22="C"),ROUND(MAX(G150*{5;10;15;20;25;30;35}%-{0;0.25;0.75;1.65;3.25;5.85;9.85}*1000000,0),0),IF('UAT12-Dec'!H22="B",IF(G150&lt;2000000,0,ROUND(G150*10%,0)),ROUND(G150*20%,0)))</f>
        <v>5066353</v>
      </c>
      <c r="H151" s="334">
        <f>IF(OR('UAT12-Dec'!I22="A",'UAT12-Dec'!I22="C"),ROUND(MAX(H150*{5;10;15;20;25;30;35}%-{0;0.25;0.75;1.65;3.25;5.85;9.85}*1000000,0),0),IF('UAT12-Dec'!I22="B",IF(H150&lt;2000000,0,ROUND(H150*10%,0)),ROUND(H150*20%,0)))</f>
        <v>379846</v>
      </c>
      <c r="I151" s="334">
        <f>IF(OR('UAT12-Dec'!J22="A",'UAT12-Dec'!J22="C"),ROUND(MAX(I150*{5;10;15;20;25;30;35}%-{0;0.25;0.75;1.65;3.25;5.85;9.85}*1000000,0),0),IF('UAT12-Dec'!J22="B",IF(I150&lt;2000000,0,ROUND(I150*10%,0)),ROUND(I150*20%,0)))</f>
        <v>9260851</v>
      </c>
      <c r="J151" s="334">
        <f>IF(OR('UAT12-Dec'!K22="A",'UAT12-Dec'!K22="C"),ROUND(MAX(J150*{5;10;15;20;25;30;35}%-{0;0.25;0.75;1.65;3.25;5.85;9.85}*1000000,0),0),IF('UAT12-Dec'!K22="B",IF(J150&lt;2000000,0,ROUND(J150*10%,0)),ROUND(J150*20%,0)))</f>
        <v>165210</v>
      </c>
      <c r="K151" s="574">
        <f>IF(OR('UAT12-Dec'!L22="A",'UAT12-Dec'!L22="C"),ROUND(MAX(K150*{5;10;15;20;25;30;35}%-{0;0.25;0.75;1.65;3.25;5.85;9.85}*1000000,0),0),IF('UAT12-Dec'!L22="B",IF(K150&lt;2000000,0,ROUND(K150*10%,0)),ROUND(K150*20%,0)))</f>
        <v>414962</v>
      </c>
    </row>
    <row r="152" spans="1:11">
      <c r="A152" s="575" t="s">
        <v>885</v>
      </c>
      <c r="B152" s="334">
        <f>B151*12</f>
        <v>150492</v>
      </c>
      <c r="C152" s="334">
        <f t="shared" ref="C152:K152" si="46">C151*12</f>
        <v>586272</v>
      </c>
      <c r="D152" s="607">
        <f>D151*9</f>
        <v>18333702</v>
      </c>
      <c r="E152" s="334">
        <f t="shared" si="46"/>
        <v>115428084</v>
      </c>
      <c r="F152" s="334">
        <f t="shared" si="46"/>
        <v>195473028</v>
      </c>
      <c r="G152" s="334">
        <f t="shared" si="46"/>
        <v>60796236</v>
      </c>
      <c r="H152" s="334">
        <f t="shared" si="46"/>
        <v>4558152</v>
      </c>
      <c r="I152" s="334">
        <f t="shared" si="46"/>
        <v>111130212</v>
      </c>
      <c r="J152" s="334">
        <f t="shared" si="46"/>
        <v>1982520</v>
      </c>
      <c r="K152" s="574">
        <f t="shared" si="46"/>
        <v>4979544</v>
      </c>
    </row>
    <row r="153" spans="1:11" ht="14.4" thickBot="1">
      <c r="A153" s="622" t="s">
        <v>1121</v>
      </c>
      <c r="B153" s="623">
        <f>B152-B145</f>
        <v>-2125817</v>
      </c>
      <c r="C153" s="623">
        <f t="shared" ref="C153:K153" si="47">C152-C145</f>
        <v>-869190</v>
      </c>
      <c r="D153" s="624">
        <f t="shared" si="47"/>
        <v>4</v>
      </c>
      <c r="E153" s="623">
        <f t="shared" si="47"/>
        <v>-19242064</v>
      </c>
      <c r="F153" s="623">
        <f t="shared" si="47"/>
        <v>5</v>
      </c>
      <c r="G153" s="623">
        <f t="shared" si="47"/>
        <v>-5804803</v>
      </c>
      <c r="H153" s="623">
        <f t="shared" si="47"/>
        <v>-2727752</v>
      </c>
      <c r="I153" s="623">
        <f t="shared" si="47"/>
        <v>-2</v>
      </c>
      <c r="J153" s="623">
        <f t="shared" si="47"/>
        <v>-2211719</v>
      </c>
      <c r="K153" s="625">
        <f t="shared" si="47"/>
        <v>-1</v>
      </c>
    </row>
  </sheetData>
  <mergeCells count="5">
    <mergeCell ref="E6:G6"/>
    <mergeCell ref="T6:W6"/>
    <mergeCell ref="L7:L8"/>
    <mergeCell ref="T9:W13"/>
    <mergeCell ref="A143:K143"/>
  </mergeCells>
  <phoneticPr fontId="104" type="noConversion"/>
  <pageMargins left="0.75" right="0.75" top="1" bottom="1" header="0.5" footer="0.5"/>
  <pageSetup paperSize="9" orientation="portrait" verticalDpi="90" r:id="rId1"/>
  <headerFooter alignWithMargins="0"/>
  <drawing r:id="rId2"/>
  <legacy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7" tint="0.39997558519241921"/>
  </sheetPr>
  <dimension ref="A2:G46"/>
  <sheetViews>
    <sheetView workbookViewId="0">
      <selection activeCell="C13" sqref="C13"/>
    </sheetView>
  </sheetViews>
  <sheetFormatPr defaultRowHeight="13.8"/>
  <cols>
    <col min="1" max="1" width="63.88671875" style="156" customWidth="1"/>
    <col min="2" max="2" width="33.88671875" style="143" customWidth="1"/>
    <col min="3" max="3" width="76" style="156" customWidth="1"/>
    <col min="4" max="4" width="3.33203125" style="156" customWidth="1"/>
    <col min="5" max="6" width="8.88671875" style="156"/>
    <col min="7" max="7" width="16.21875" style="156" customWidth="1"/>
    <col min="8" max="16384" width="8.88671875" style="156"/>
  </cols>
  <sheetData>
    <row r="2" spans="1:7">
      <c r="A2" s="156" t="s">
        <v>362</v>
      </c>
    </row>
    <row r="3" spans="1:7">
      <c r="A3" s="156" t="s">
        <v>363</v>
      </c>
    </row>
    <row r="4" spans="1:7">
      <c r="A4" s="156" t="s">
        <v>364</v>
      </c>
    </row>
    <row r="6" spans="1:7">
      <c r="A6" s="255" t="s">
        <v>365</v>
      </c>
      <c r="B6" s="256" t="s">
        <v>366</v>
      </c>
    </row>
    <row r="7" spans="1:7" s="150" customFormat="1">
      <c r="A7" s="257" t="s">
        <v>367</v>
      </c>
      <c r="B7" s="144" t="s">
        <v>368</v>
      </c>
    </row>
    <row r="8" spans="1:7">
      <c r="A8" s="156" t="s">
        <v>369</v>
      </c>
      <c r="B8" s="143" t="s">
        <v>370</v>
      </c>
    </row>
    <row r="9" spans="1:7">
      <c r="A9" s="156" t="s">
        <v>371</v>
      </c>
      <c r="B9" s="258" t="s">
        <v>372</v>
      </c>
    </row>
    <row r="10" spans="1:7">
      <c r="A10" s="156" t="s">
        <v>373</v>
      </c>
      <c r="B10" s="258" t="s">
        <v>372</v>
      </c>
    </row>
    <row r="12" spans="1:7">
      <c r="A12" s="259" t="s">
        <v>374</v>
      </c>
      <c r="B12" s="256" t="s">
        <v>366</v>
      </c>
      <c r="C12" s="260"/>
      <c r="D12" s="260"/>
      <c r="E12" s="260"/>
      <c r="F12" s="261"/>
      <c r="G12" s="261"/>
    </row>
    <row r="13" spans="1:7" s="150" customFormat="1" ht="27.6">
      <c r="A13" s="262" t="s">
        <v>375</v>
      </c>
      <c r="B13" s="258" t="s">
        <v>372</v>
      </c>
      <c r="C13" s="263"/>
      <c r="D13" s="263"/>
      <c r="E13" s="263"/>
      <c r="F13" s="264"/>
      <c r="G13" s="264"/>
    </row>
    <row r="14" spans="1:7">
      <c r="A14" s="156" t="s">
        <v>376</v>
      </c>
      <c r="B14" s="258" t="s">
        <v>372</v>
      </c>
      <c r="C14" s="265"/>
      <c r="D14" s="265"/>
      <c r="E14" s="265"/>
      <c r="F14" s="265"/>
      <c r="G14" s="265"/>
    </row>
    <row r="15" spans="1:7" ht="27.6">
      <c r="A15" s="266" t="s">
        <v>377</v>
      </c>
      <c r="B15" s="258" t="s">
        <v>372</v>
      </c>
      <c r="C15" s="265"/>
      <c r="D15" s="265"/>
      <c r="E15" s="265"/>
      <c r="F15" s="265"/>
      <c r="G15" s="265"/>
    </row>
    <row r="16" spans="1:7">
      <c r="A16" s="156" t="s">
        <v>378</v>
      </c>
      <c r="B16" s="258" t="s">
        <v>379</v>
      </c>
      <c r="C16" s="265"/>
      <c r="D16" s="265"/>
      <c r="E16" s="265"/>
      <c r="F16" s="267"/>
      <c r="G16" s="265"/>
    </row>
    <row r="17" spans="1:7">
      <c r="A17" s="156" t="s">
        <v>380</v>
      </c>
      <c r="B17" s="258" t="s">
        <v>379</v>
      </c>
      <c r="C17" s="265"/>
      <c r="D17" s="265"/>
      <c r="E17" s="265"/>
      <c r="F17" s="265"/>
      <c r="G17" s="265"/>
    </row>
    <row r="18" spans="1:7">
      <c r="A18" s="156" t="s">
        <v>381</v>
      </c>
      <c r="B18" s="258" t="s">
        <v>382</v>
      </c>
      <c r="C18" s="265"/>
      <c r="D18" s="265"/>
      <c r="E18" s="265"/>
      <c r="F18" s="265"/>
      <c r="G18" s="265"/>
    </row>
    <row r="19" spans="1:7">
      <c r="A19" s="156" t="s">
        <v>383</v>
      </c>
      <c r="B19" s="258" t="s">
        <v>372</v>
      </c>
      <c r="C19" s="265"/>
      <c r="D19" s="265"/>
      <c r="E19" s="265"/>
      <c r="F19" s="265"/>
      <c r="G19" s="265"/>
    </row>
    <row r="20" spans="1:7">
      <c r="B20" s="258"/>
      <c r="C20" s="265"/>
      <c r="D20" s="265"/>
      <c r="E20" s="265"/>
      <c r="F20" s="265"/>
      <c r="G20" s="265"/>
    </row>
    <row r="21" spans="1:7">
      <c r="A21" s="268" t="s">
        <v>384</v>
      </c>
      <c r="B21" s="256" t="s">
        <v>366</v>
      </c>
      <c r="C21" s="263"/>
      <c r="D21" s="263"/>
      <c r="E21" s="263"/>
      <c r="F21" s="261"/>
      <c r="G21" s="261"/>
    </row>
    <row r="22" spans="1:7" s="150" customFormat="1">
      <c r="A22" s="269" t="s">
        <v>385</v>
      </c>
      <c r="B22" s="270" t="s">
        <v>386</v>
      </c>
      <c r="C22" s="263"/>
      <c r="D22" s="263"/>
      <c r="E22" s="263"/>
      <c r="F22" s="264"/>
      <c r="G22" s="264"/>
    </row>
    <row r="23" spans="1:7">
      <c r="A23" s="269" t="s">
        <v>387</v>
      </c>
      <c r="B23" s="270" t="s">
        <v>386</v>
      </c>
      <c r="C23" s="269"/>
      <c r="D23" s="269"/>
      <c r="E23" s="269"/>
      <c r="F23" s="267"/>
      <c r="G23" s="265"/>
    </row>
    <row r="24" spans="1:7">
      <c r="A24" s="271" t="s">
        <v>388</v>
      </c>
      <c r="B24" s="272" t="s">
        <v>372</v>
      </c>
      <c r="C24" s="269"/>
      <c r="D24" s="269"/>
      <c r="E24" s="269"/>
      <c r="F24" s="265"/>
      <c r="G24" s="265"/>
    </row>
    <row r="25" spans="1:7">
      <c r="A25" s="269" t="s">
        <v>389</v>
      </c>
      <c r="B25" s="258" t="s">
        <v>379</v>
      </c>
      <c r="C25" s="269"/>
      <c r="D25" s="269"/>
      <c r="E25" s="269"/>
      <c r="F25" s="265"/>
      <c r="G25" s="265"/>
    </row>
    <row r="26" spans="1:7">
      <c r="A26" s="269" t="s">
        <v>390</v>
      </c>
      <c r="B26" s="258" t="s">
        <v>372</v>
      </c>
      <c r="C26" s="269"/>
      <c r="D26" s="269"/>
      <c r="E26" s="269"/>
      <c r="F26" s="265"/>
      <c r="G26" s="265"/>
    </row>
    <row r="27" spans="1:7">
      <c r="A27" s="269" t="s">
        <v>391</v>
      </c>
      <c r="B27" s="270" t="s">
        <v>386</v>
      </c>
      <c r="C27" s="269"/>
      <c r="D27" s="269"/>
      <c r="E27" s="269"/>
      <c r="F27" s="265"/>
      <c r="G27" s="265"/>
    </row>
    <row r="28" spans="1:7">
      <c r="A28" s="269" t="s">
        <v>392</v>
      </c>
      <c r="B28" s="258" t="s">
        <v>372</v>
      </c>
      <c r="C28" s="269"/>
      <c r="D28" s="269"/>
      <c r="E28" s="269"/>
      <c r="F28" s="265"/>
      <c r="G28" s="265"/>
    </row>
    <row r="29" spans="1:7">
      <c r="A29" s="273" t="s">
        <v>393</v>
      </c>
      <c r="B29" s="258" t="s">
        <v>372</v>
      </c>
      <c r="C29" s="273"/>
      <c r="D29" s="273"/>
      <c r="E29" s="273"/>
      <c r="F29" s="274"/>
      <c r="G29" s="274"/>
    </row>
    <row r="31" spans="1:7">
      <c r="D31" s="273"/>
    </row>
    <row r="32" spans="1:7">
      <c r="A32" s="768" t="s">
        <v>394</v>
      </c>
      <c r="B32" s="769"/>
      <c r="C32" s="770"/>
      <c r="D32" s="275"/>
    </row>
    <row r="33" spans="1:4" ht="14.4" thickBot="1"/>
    <row r="34" spans="1:4">
      <c r="A34" s="771" t="s">
        <v>395</v>
      </c>
      <c r="B34" s="772"/>
      <c r="C34" s="773"/>
      <c r="D34" s="276"/>
    </row>
    <row r="35" spans="1:4">
      <c r="A35" s="774"/>
      <c r="B35" s="775"/>
      <c r="C35" s="776"/>
      <c r="D35" s="276"/>
    </row>
    <row r="36" spans="1:4">
      <c r="A36" s="774"/>
      <c r="B36" s="775"/>
      <c r="C36" s="776"/>
      <c r="D36" s="276"/>
    </row>
    <row r="37" spans="1:4">
      <c r="A37" s="774"/>
      <c r="B37" s="775"/>
      <c r="C37" s="776"/>
      <c r="D37" s="276"/>
    </row>
    <row r="38" spans="1:4">
      <c r="A38" s="774"/>
      <c r="B38" s="775"/>
      <c r="C38" s="776"/>
      <c r="D38" s="276"/>
    </row>
    <row r="39" spans="1:4">
      <c r="A39" s="774"/>
      <c r="B39" s="775"/>
      <c r="C39" s="776"/>
      <c r="D39" s="276"/>
    </row>
    <row r="40" spans="1:4">
      <c r="A40" s="774"/>
      <c r="B40" s="775"/>
      <c r="C40" s="776"/>
      <c r="D40" s="276"/>
    </row>
    <row r="41" spans="1:4" ht="14.4" thickBot="1">
      <c r="A41" s="777"/>
      <c r="B41" s="778"/>
      <c r="C41" s="779"/>
      <c r="D41" s="276"/>
    </row>
    <row r="42" spans="1:4">
      <c r="B42" s="277"/>
      <c r="D42" s="278"/>
    </row>
    <row r="43" spans="1:4">
      <c r="A43" s="279" t="s">
        <v>396</v>
      </c>
      <c r="B43" s="279" t="s">
        <v>397</v>
      </c>
      <c r="C43" s="279" t="s">
        <v>398</v>
      </c>
    </row>
    <row r="44" spans="1:4" ht="55.2">
      <c r="A44" s="280" t="s">
        <v>399</v>
      </c>
      <c r="B44" s="280" t="s">
        <v>400</v>
      </c>
      <c r="C44" s="280" t="s">
        <v>401</v>
      </c>
    </row>
    <row r="45" spans="1:4" ht="96.6">
      <c r="A45" s="280" t="s">
        <v>402</v>
      </c>
      <c r="B45" s="280" t="s">
        <v>403</v>
      </c>
      <c r="C45" s="280" t="s">
        <v>404</v>
      </c>
    </row>
    <row r="46" spans="1:4" ht="55.2">
      <c r="A46" s="280" t="s">
        <v>405</v>
      </c>
      <c r="B46" s="281" t="s">
        <v>406</v>
      </c>
      <c r="C46" s="281" t="s">
        <v>407</v>
      </c>
    </row>
  </sheetData>
  <mergeCells count="2">
    <mergeCell ref="A32:C32"/>
    <mergeCell ref="A34:C41"/>
  </mergeCells>
  <phoneticPr fontId="104"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4B324-DED4-4660-9240-EE2522DF12F2}">
  <dimension ref="A1:AC149"/>
  <sheetViews>
    <sheetView workbookViewId="0">
      <pane xSplit="1" ySplit="9" topLeftCell="B64" activePane="bottomRight" state="frozen"/>
      <selection pane="topRight" activeCell="B1" sqref="B1"/>
      <selection pane="bottomLeft" activeCell="A10" sqref="A10"/>
      <selection pane="bottomRight" activeCell="H65" sqref="H65"/>
    </sheetView>
  </sheetViews>
  <sheetFormatPr defaultRowHeight="13.8"/>
  <cols>
    <col min="1" max="1" width="31" style="5" bestFit="1" customWidth="1"/>
    <col min="2" max="5" width="10.77734375" style="5" customWidth="1"/>
    <col min="6" max="8" width="10.77734375" customWidth="1"/>
    <col min="9" max="9" width="11.6640625" bestFit="1" customWidth="1"/>
    <col min="10" max="15" width="10.77734375" customWidth="1"/>
    <col min="16" max="16" width="12.6640625" bestFit="1" customWidth="1"/>
    <col min="17" max="18" width="12.77734375" customWidth="1"/>
    <col min="19" max="21" width="10.77734375" customWidth="1"/>
    <col min="22" max="26" width="9.33203125" style="5" customWidth="1"/>
    <col min="27" max="27" width="10.77734375" style="5" bestFit="1" customWidth="1"/>
    <col min="28" max="29" width="9.33203125" style="5" customWidth="1"/>
  </cols>
  <sheetData>
    <row r="1" spans="1:29" s="3" customFormat="1" ht="20.399999999999999">
      <c r="A1" s="104" t="s">
        <v>6</v>
      </c>
      <c r="B1" s="104"/>
      <c r="C1" s="104"/>
      <c r="D1" s="104"/>
      <c r="E1" s="104"/>
      <c r="F1" s="440"/>
      <c r="L1" s="8"/>
      <c r="X1" s="1"/>
      <c r="Y1" s="1"/>
      <c r="Z1" s="1"/>
      <c r="AA1" s="1"/>
      <c r="AB1" s="1"/>
      <c r="AC1" s="1"/>
    </row>
    <row r="2" spans="1:29" s="3" customFormat="1" ht="12.75" customHeight="1">
      <c r="B2" s="110"/>
      <c r="C2" s="110"/>
      <c r="D2" s="110"/>
      <c r="E2" s="109"/>
      <c r="V2" s="22"/>
      <c r="W2" s="22"/>
      <c r="X2" s="22"/>
      <c r="Y2" s="22"/>
      <c r="Z2" s="22"/>
      <c r="AA2" s="2"/>
      <c r="AC2" s="2"/>
    </row>
    <row r="3" spans="1:29" s="3" customFormat="1" ht="30">
      <c r="A3" s="106" t="s">
        <v>1133</v>
      </c>
      <c r="B3" s="110"/>
      <c r="C3" s="110"/>
      <c r="D3" s="110"/>
      <c r="E3" s="106"/>
      <c r="V3" s="22"/>
      <c r="W3" s="22"/>
      <c r="X3" s="22"/>
      <c r="Y3" s="22"/>
      <c r="Z3" s="22"/>
      <c r="AA3" s="2"/>
      <c r="AC3" s="2"/>
    </row>
    <row r="4" spans="1:29" s="110" customFormat="1">
      <c r="A4" s="110" t="s">
        <v>1265</v>
      </c>
      <c r="B4" s="361">
        <v>23205</v>
      </c>
    </row>
    <row r="5" spans="1:29" s="110" customFormat="1">
      <c r="A5" s="110" t="s">
        <v>1268</v>
      </c>
      <c r="B5" s="361">
        <v>23500</v>
      </c>
    </row>
    <row r="6" spans="1:29" s="3" customFormat="1" ht="18" customHeight="1">
      <c r="A6" s="321">
        <v>43585</v>
      </c>
      <c r="B6" s="110"/>
      <c r="C6" s="110"/>
      <c r="D6" s="110"/>
      <c r="G6" s="748" t="s">
        <v>52</v>
      </c>
      <c r="H6" s="748"/>
      <c r="I6" s="748"/>
      <c r="J6" s="748"/>
      <c r="V6" s="22"/>
      <c r="W6" s="22"/>
      <c r="X6" s="747" t="s">
        <v>65</v>
      </c>
      <c r="Y6" s="747"/>
      <c r="Z6" s="747"/>
      <c r="AA6" s="747"/>
      <c r="AB6" s="2"/>
      <c r="AC6" s="2"/>
    </row>
    <row r="7" spans="1:29" s="4" customFormat="1">
      <c r="A7" s="402"/>
      <c r="B7" s="317" t="s">
        <v>34</v>
      </c>
      <c r="C7" s="318" t="s">
        <v>35</v>
      </c>
      <c r="D7" s="318" t="s">
        <v>36</v>
      </c>
      <c r="E7" s="318" t="s">
        <v>37</v>
      </c>
      <c r="F7" s="318" t="s">
        <v>38</v>
      </c>
      <c r="G7" s="318" t="s">
        <v>39</v>
      </c>
      <c r="H7" s="318" t="s">
        <v>40</v>
      </c>
      <c r="I7" s="318" t="s">
        <v>41</v>
      </c>
      <c r="J7" s="318" t="s">
        <v>42</v>
      </c>
      <c r="K7" s="318" t="s">
        <v>43</v>
      </c>
      <c r="L7" s="318" t="s">
        <v>44</v>
      </c>
      <c r="M7" s="318" t="s">
        <v>45</v>
      </c>
      <c r="N7" s="318" t="s">
        <v>46</v>
      </c>
      <c r="O7" s="318" t="s">
        <v>47</v>
      </c>
      <c r="P7" s="758" t="s">
        <v>498</v>
      </c>
      <c r="Q7" s="343" t="s">
        <v>514</v>
      </c>
      <c r="R7" s="343" t="s">
        <v>515</v>
      </c>
      <c r="S7" s="343" t="s">
        <v>517</v>
      </c>
      <c r="T7" s="343" t="s">
        <v>519</v>
      </c>
      <c r="U7" s="343" t="s">
        <v>521</v>
      </c>
      <c r="V7" s="344"/>
      <c r="W7" s="345"/>
      <c r="X7" s="345"/>
      <c r="Y7" s="345"/>
      <c r="Z7" s="345"/>
      <c r="AA7" s="345"/>
      <c r="AB7" s="345"/>
      <c r="AC7" s="346"/>
    </row>
    <row r="8" spans="1:29" ht="15.6">
      <c r="A8" s="403"/>
      <c r="B8" s="111">
        <f>'New Hire'!C6</f>
        <v>91999901</v>
      </c>
      <c r="C8" s="333">
        <f>'New Hire'!D6</f>
        <v>91999902</v>
      </c>
      <c r="D8" s="333">
        <f>'New Hire'!E6</f>
        <v>91999903</v>
      </c>
      <c r="E8" s="333">
        <f>'New Hire'!F6</f>
        <v>91999904</v>
      </c>
      <c r="F8" s="333">
        <f>'New Hire'!G6</f>
        <v>91999905</v>
      </c>
      <c r="G8" s="333">
        <f>'New Hire'!H6</f>
        <v>91999906</v>
      </c>
      <c r="H8" s="333">
        <f>'New Hire'!I6</f>
        <v>91999907</v>
      </c>
      <c r="I8" s="333">
        <f>'New Hire'!J6</f>
        <v>91999908</v>
      </c>
      <c r="J8" s="333">
        <f>'New Hire'!K6</f>
        <v>91999909</v>
      </c>
      <c r="K8" s="333">
        <f>'New Hire'!L6</f>
        <v>91999910</v>
      </c>
      <c r="L8" s="333">
        <f>'New Hire'!M6</f>
        <v>91999911</v>
      </c>
      <c r="M8" s="333">
        <f>'New Hire'!N6</f>
        <v>91999912</v>
      </c>
      <c r="N8" s="333">
        <f>'New Hire'!O6</f>
        <v>91999913</v>
      </c>
      <c r="O8" s="333">
        <f>'New Hire'!P6</f>
        <v>91999914</v>
      </c>
      <c r="P8" s="759"/>
      <c r="Q8" s="343" t="s">
        <v>513</v>
      </c>
      <c r="R8" s="343" t="s">
        <v>516</v>
      </c>
      <c r="S8" s="343" t="s">
        <v>518</v>
      </c>
      <c r="T8" s="343" t="s">
        <v>520</v>
      </c>
      <c r="U8" s="343" t="s">
        <v>522</v>
      </c>
      <c r="V8" s="47"/>
      <c r="W8" s="48"/>
      <c r="X8" s="20"/>
      <c r="Y8" s="20"/>
      <c r="Z8" s="20"/>
      <c r="AA8" s="20"/>
      <c r="AB8" s="20"/>
      <c r="AC8" s="15"/>
    </row>
    <row r="9" spans="1:29" ht="12.75" customHeight="1">
      <c r="A9" s="404" t="s">
        <v>63</v>
      </c>
      <c r="B9" s="23"/>
      <c r="C9" s="19"/>
      <c r="D9" s="19"/>
      <c r="E9" s="20"/>
      <c r="F9" s="19"/>
      <c r="G9" s="19"/>
      <c r="H9" s="21"/>
      <c r="I9" s="19"/>
      <c r="J9" s="19"/>
      <c r="K9" s="20"/>
      <c r="L9" s="20"/>
      <c r="M9" s="20"/>
      <c r="N9" s="20"/>
      <c r="O9" s="15"/>
      <c r="P9" s="15"/>
      <c r="Q9" s="20"/>
      <c r="R9" s="20"/>
      <c r="S9" s="20"/>
      <c r="T9" s="20"/>
      <c r="U9" s="20"/>
      <c r="V9" s="25"/>
      <c r="W9" s="26"/>
      <c r="X9" s="749" t="s">
        <v>601</v>
      </c>
      <c r="Y9" s="750"/>
      <c r="Z9" s="750"/>
      <c r="AA9" s="751"/>
      <c r="AB9" s="27"/>
      <c r="AC9" s="18"/>
    </row>
    <row r="10" spans="1:29">
      <c r="A10" s="417" t="s">
        <v>478</v>
      </c>
      <c r="B10" s="379">
        <v>43556</v>
      </c>
      <c r="C10" s="379">
        <v>43556</v>
      </c>
      <c r="D10" s="379">
        <v>43556</v>
      </c>
      <c r="E10" s="379">
        <v>43556</v>
      </c>
      <c r="F10" s="379">
        <v>43556</v>
      </c>
      <c r="G10" s="379">
        <v>43556</v>
      </c>
      <c r="H10" s="379">
        <v>43556</v>
      </c>
      <c r="I10" s="379">
        <v>43556</v>
      </c>
      <c r="J10" s="379">
        <v>43556</v>
      </c>
      <c r="K10" s="379">
        <v>43556</v>
      </c>
      <c r="L10" s="379">
        <v>43556</v>
      </c>
      <c r="M10" s="379">
        <v>43556</v>
      </c>
      <c r="N10" s="379">
        <v>43556</v>
      </c>
      <c r="O10" s="380">
        <v>43556</v>
      </c>
      <c r="P10" s="15"/>
      <c r="Q10" s="20"/>
      <c r="R10" s="20"/>
      <c r="S10" s="20"/>
      <c r="T10" s="20"/>
      <c r="U10" s="20"/>
      <c r="V10" s="28"/>
      <c r="W10" s="29"/>
      <c r="X10" s="752"/>
      <c r="Y10" s="753"/>
      <c r="Z10" s="753"/>
      <c r="AA10" s="754"/>
      <c r="AB10" s="30"/>
      <c r="AC10" s="15"/>
    </row>
    <row r="11" spans="1:29" ht="12.75" customHeight="1">
      <c r="A11" s="98" t="s">
        <v>489</v>
      </c>
      <c r="B11" s="381" t="str">
        <f>'New Hire'!C10</f>
        <v>1</v>
      </c>
      <c r="C11" s="382" t="str">
        <f>'New Hire'!D10</f>
        <v>P</v>
      </c>
      <c r="D11" s="382" t="str">
        <f>'New Hire'!E10</f>
        <v>3</v>
      </c>
      <c r="E11" s="382" t="str">
        <f>'New Hire'!F10</f>
        <v>3</v>
      </c>
      <c r="F11" s="382">
        <f>'New Hire'!G10</f>
        <v>4</v>
      </c>
      <c r="G11" s="382" t="str">
        <f>'New Hire'!H10</f>
        <v>C</v>
      </c>
      <c r="H11" s="382" t="str">
        <f>'New Hire'!I10</f>
        <v>I</v>
      </c>
      <c r="I11" s="382" t="str">
        <f>'New Hire'!J10</f>
        <v>S</v>
      </c>
      <c r="J11" s="382" t="str">
        <f>'New Hire'!K10</f>
        <v>P</v>
      </c>
      <c r="K11" s="382" t="str">
        <f>'New Hire'!L10</f>
        <v>1</v>
      </c>
      <c r="L11" s="382" t="str">
        <f>'New Hire'!M10</f>
        <v>1</v>
      </c>
      <c r="M11" s="382">
        <f>'New Hire'!N10</f>
        <v>3</v>
      </c>
      <c r="N11" s="382">
        <f>'New Hire'!O10</f>
        <v>3</v>
      </c>
      <c r="O11" s="383" t="str">
        <f>'New Hire'!P10</f>
        <v>C</v>
      </c>
      <c r="P11" s="15"/>
      <c r="Q11" s="20"/>
      <c r="R11" s="20"/>
      <c r="S11" s="20"/>
      <c r="T11" s="20"/>
      <c r="U11" s="20"/>
      <c r="V11" s="32"/>
      <c r="W11" s="20"/>
      <c r="X11" s="752"/>
      <c r="Y11" s="753"/>
      <c r="Z11" s="753"/>
      <c r="AA11" s="754"/>
      <c r="AB11" s="20"/>
      <c r="AC11" s="15"/>
    </row>
    <row r="12" spans="1:29" ht="12.75" customHeight="1">
      <c r="A12" s="98" t="s">
        <v>490</v>
      </c>
      <c r="B12" s="384" t="str">
        <f>'New Hire'!C11</f>
        <v>;P</v>
      </c>
      <c r="C12" s="385" t="str">
        <f>'New Hire'!D11</f>
        <v>;A</v>
      </c>
      <c r="D12" s="385" t="str">
        <f>'New Hire'!E11</f>
        <v>;E</v>
      </c>
      <c r="E12" s="385" t="str">
        <f>'New Hire'!F11</f>
        <v>;I</v>
      </c>
      <c r="F12" s="385" t="str">
        <f>'New Hire'!G11</f>
        <v>;P</v>
      </c>
      <c r="G12" s="385" t="str">
        <f>'New Hire'!H11</f>
        <v>;A</v>
      </c>
      <c r="H12" s="385" t="str">
        <f>'New Hire'!I11</f>
        <v>;A</v>
      </c>
      <c r="I12" s="385" t="str">
        <f>'New Hire'!J11</f>
        <v>;V</v>
      </c>
      <c r="J12" s="385" t="str">
        <f>'New Hire'!K11</f>
        <v>;P</v>
      </c>
      <c r="K12" s="385" t="str">
        <f>'New Hire'!L11</f>
        <v>;A</v>
      </c>
      <c r="L12" s="385" t="str">
        <f>'New Hire'!M11</f>
        <v>;I</v>
      </c>
      <c r="M12" s="385" t="str">
        <f>'New Hire'!N11</f>
        <v>;P</v>
      </c>
      <c r="N12" s="385" t="str">
        <f>'New Hire'!O11</f>
        <v>;P</v>
      </c>
      <c r="O12" s="386" t="str">
        <f>'New Hire'!P11</f>
        <v>;I</v>
      </c>
      <c r="P12" s="15"/>
      <c r="Q12" s="20"/>
      <c r="R12" s="20"/>
      <c r="S12" s="20"/>
      <c r="T12" s="20"/>
      <c r="U12" s="20"/>
      <c r="V12" s="32"/>
      <c r="W12" s="20"/>
      <c r="X12" s="755"/>
      <c r="Y12" s="756"/>
      <c r="Z12" s="756"/>
      <c r="AA12" s="757"/>
      <c r="AB12" s="20"/>
      <c r="AC12" s="15"/>
    </row>
    <row r="13" spans="1:29">
      <c r="A13" s="99" t="s">
        <v>476</v>
      </c>
      <c r="B13" s="648">
        <f>'New Hire'!C27</f>
        <v>1</v>
      </c>
      <c r="C13" s="649">
        <f>'New Hire'!D27</f>
        <v>0.9</v>
      </c>
      <c r="D13" s="649">
        <f>'New Hire'!E27</f>
        <v>1</v>
      </c>
      <c r="E13" s="649">
        <f>'New Hire'!F27</f>
        <v>1</v>
      </c>
      <c r="F13" s="649">
        <f>'New Hire'!G27</f>
        <v>0.8</v>
      </c>
      <c r="G13" s="649">
        <f>'New Hire'!H27</f>
        <v>1</v>
      </c>
      <c r="H13" s="649">
        <f>'New Hire'!I27</f>
        <v>0.5</v>
      </c>
      <c r="I13" s="649">
        <f>'New Hire'!J27</f>
        <v>0.75</v>
      </c>
      <c r="J13" s="649">
        <f>'New Hire'!K27</f>
        <v>0.6</v>
      </c>
      <c r="K13" s="649">
        <f>'New Hire'!L27</f>
        <v>1</v>
      </c>
      <c r="L13" s="649">
        <f>'New Hire'!M27</f>
        <v>1</v>
      </c>
      <c r="M13" s="649">
        <f>'New Hire'!N27</f>
        <v>1</v>
      </c>
      <c r="N13" s="649">
        <f>'New Hire'!O27</f>
        <v>1</v>
      </c>
      <c r="O13" s="652">
        <f>'New Hire'!P27</f>
        <v>1</v>
      </c>
      <c r="P13" s="15"/>
      <c r="Q13" s="20"/>
      <c r="R13" s="20"/>
      <c r="S13" s="20"/>
      <c r="T13" s="20"/>
      <c r="U13" s="20"/>
      <c r="V13" s="23"/>
      <c r="W13" s="19"/>
      <c r="X13" s="19"/>
      <c r="Y13" s="19"/>
      <c r="Z13" s="19"/>
      <c r="AA13" s="19"/>
      <c r="AB13" s="19"/>
      <c r="AC13" s="31"/>
    </row>
    <row r="14" spans="1:29">
      <c r="A14" s="98" t="s">
        <v>479</v>
      </c>
      <c r="B14" s="388">
        <f t="shared" ref="B14:O14" si="0">NETWORKDAYS(B10,$A$6)</f>
        <v>22</v>
      </c>
      <c r="C14" s="332">
        <f t="shared" si="0"/>
        <v>22</v>
      </c>
      <c r="D14" s="332">
        <f t="shared" si="0"/>
        <v>22</v>
      </c>
      <c r="E14" s="332">
        <f t="shared" si="0"/>
        <v>22</v>
      </c>
      <c r="F14" s="332">
        <f t="shared" si="0"/>
        <v>22</v>
      </c>
      <c r="G14" s="332">
        <f t="shared" si="0"/>
        <v>22</v>
      </c>
      <c r="H14" s="332">
        <f t="shared" si="0"/>
        <v>22</v>
      </c>
      <c r="I14" s="332">
        <f t="shared" si="0"/>
        <v>22</v>
      </c>
      <c r="J14" s="332">
        <f t="shared" si="0"/>
        <v>22</v>
      </c>
      <c r="K14" s="332">
        <f t="shared" si="0"/>
        <v>22</v>
      </c>
      <c r="L14" s="332">
        <f t="shared" si="0"/>
        <v>22</v>
      </c>
      <c r="M14" s="332">
        <f t="shared" si="0"/>
        <v>22</v>
      </c>
      <c r="N14" s="332">
        <f t="shared" si="0"/>
        <v>22</v>
      </c>
      <c r="O14" s="389">
        <f t="shared" si="0"/>
        <v>22</v>
      </c>
      <c r="P14" s="15"/>
      <c r="Q14" s="20"/>
      <c r="R14" s="20"/>
      <c r="S14" s="20"/>
      <c r="T14" s="20"/>
      <c r="U14" s="20"/>
      <c r="V14" s="23"/>
      <c r="W14" s="19"/>
      <c r="X14" s="19"/>
      <c r="Y14" s="19"/>
      <c r="Z14" s="19"/>
      <c r="AA14" s="19"/>
      <c r="AB14" s="19"/>
      <c r="AC14" s="31"/>
    </row>
    <row r="15" spans="1:29">
      <c r="A15" s="417" t="s">
        <v>632</v>
      </c>
      <c r="B15" s="332">
        <f>NETWORKDAYS(EOMONTH($A$6,-1)+1,EOMONTH($A$6,0))</f>
        <v>22</v>
      </c>
      <c r="C15" s="332">
        <f t="shared" ref="C15:O15" si="1">NETWORKDAYS(EOMONTH($A$6,-1)+1,EOMONTH($A$6,0))</f>
        <v>22</v>
      </c>
      <c r="D15" s="332">
        <f t="shared" si="1"/>
        <v>22</v>
      </c>
      <c r="E15" s="332">
        <f t="shared" si="1"/>
        <v>22</v>
      </c>
      <c r="F15" s="332">
        <f t="shared" si="1"/>
        <v>22</v>
      </c>
      <c r="G15" s="332">
        <f t="shared" si="1"/>
        <v>22</v>
      </c>
      <c r="H15" s="332">
        <f t="shared" si="1"/>
        <v>22</v>
      </c>
      <c r="I15" s="332">
        <f t="shared" si="1"/>
        <v>22</v>
      </c>
      <c r="J15" s="332">
        <f t="shared" si="1"/>
        <v>22</v>
      </c>
      <c r="K15" s="332">
        <f t="shared" si="1"/>
        <v>22</v>
      </c>
      <c r="L15" s="332">
        <f t="shared" si="1"/>
        <v>22</v>
      </c>
      <c r="M15" s="332">
        <f t="shared" si="1"/>
        <v>22</v>
      </c>
      <c r="N15" s="332">
        <f t="shared" si="1"/>
        <v>22</v>
      </c>
      <c r="O15" s="389">
        <f t="shared" si="1"/>
        <v>22</v>
      </c>
      <c r="P15" s="15"/>
      <c r="Q15" s="20"/>
      <c r="R15" s="20"/>
      <c r="S15" s="20"/>
      <c r="T15" s="20"/>
      <c r="U15" s="20"/>
      <c r="V15" s="23"/>
      <c r="W15" s="19"/>
      <c r="X15" s="19"/>
      <c r="Y15" s="19"/>
      <c r="Z15" s="19"/>
      <c r="AA15" s="19"/>
      <c r="AB15" s="19"/>
      <c r="AC15" s="31"/>
    </row>
    <row r="16" spans="1:29">
      <c r="A16" s="98" t="s">
        <v>511</v>
      </c>
      <c r="B16" s="390">
        <f t="shared" ref="B16:O16" si="2">_xlfn.DAYS($A$6,B10)+1</f>
        <v>30</v>
      </c>
      <c r="C16" s="329">
        <f t="shared" si="2"/>
        <v>30</v>
      </c>
      <c r="D16" s="329">
        <f t="shared" si="2"/>
        <v>30</v>
      </c>
      <c r="E16" s="329">
        <f t="shared" si="2"/>
        <v>30</v>
      </c>
      <c r="F16" s="329">
        <f t="shared" si="2"/>
        <v>30</v>
      </c>
      <c r="G16" s="329">
        <f t="shared" si="2"/>
        <v>30</v>
      </c>
      <c r="H16" s="329">
        <f t="shared" si="2"/>
        <v>30</v>
      </c>
      <c r="I16" s="329">
        <f t="shared" si="2"/>
        <v>30</v>
      </c>
      <c r="J16" s="329">
        <f t="shared" si="2"/>
        <v>30</v>
      </c>
      <c r="K16" s="329">
        <f t="shared" si="2"/>
        <v>30</v>
      </c>
      <c r="L16" s="329">
        <f t="shared" si="2"/>
        <v>30</v>
      </c>
      <c r="M16" s="329">
        <f t="shared" si="2"/>
        <v>30</v>
      </c>
      <c r="N16" s="329">
        <f t="shared" si="2"/>
        <v>30</v>
      </c>
      <c r="O16" s="391">
        <f t="shared" si="2"/>
        <v>30</v>
      </c>
      <c r="P16" s="15"/>
      <c r="Q16" s="20"/>
      <c r="R16" s="20"/>
      <c r="S16" s="20"/>
      <c r="T16" s="20"/>
      <c r="U16" s="20"/>
      <c r="V16" s="23"/>
      <c r="W16" s="19"/>
      <c r="X16" s="19"/>
      <c r="Y16" s="19"/>
      <c r="Z16" s="19"/>
      <c r="AA16" s="19"/>
      <c r="AB16" s="19"/>
      <c r="AC16" s="31"/>
    </row>
    <row r="17" spans="1:29">
      <c r="A17" s="98" t="s">
        <v>531</v>
      </c>
      <c r="B17" s="330">
        <f>DATEDIF('New Hire'!C41,$A$6,"Y")</f>
        <v>9</v>
      </c>
      <c r="C17" s="331">
        <f>DATEDIF('New Hire'!D41,$A$6,"Y")</f>
        <v>13</v>
      </c>
      <c r="D17" s="331">
        <f>DATEDIF('New Hire'!E41,$A$6,"Y")</f>
        <v>0</v>
      </c>
      <c r="E17" s="331">
        <f>DATEDIF('New Hire'!F41,$A$6,"Y")</f>
        <v>3</v>
      </c>
      <c r="F17" s="331">
        <f>DATEDIF('New Hire'!G41,$A$6,"Y")</f>
        <v>9</v>
      </c>
      <c r="G17" s="331">
        <f>DATEDIF('New Hire'!H41,$A$6,"Y")</f>
        <v>0</v>
      </c>
      <c r="H17" s="331">
        <f>DATEDIF('New Hire'!I41,$A$6,"Y")</f>
        <v>14</v>
      </c>
      <c r="I17" s="331">
        <f>DATEDIF('New Hire'!J41,$A$6,"Y")</f>
        <v>0</v>
      </c>
      <c r="J17" s="331">
        <f>DATEDIF('New Hire'!K41,$A$6,"Y")</f>
        <v>0</v>
      </c>
      <c r="K17" s="331">
        <f>DATEDIF('New Hire'!L41,$A$6,"Y")</f>
        <v>9</v>
      </c>
      <c r="L17" s="331">
        <f>DATEDIF('New Hire'!M41,$A$6,"Y")</f>
        <v>4</v>
      </c>
      <c r="M17" s="331">
        <f>DATEDIF('New Hire'!N41,$A$6,"Y")</f>
        <v>0</v>
      </c>
      <c r="N17" s="331">
        <f>DATEDIF('New Hire'!O41,$A$6,"Y")</f>
        <v>11</v>
      </c>
      <c r="O17" s="387">
        <f>DATEDIF('New Hire'!P41,$A$6,"Y")</f>
        <v>0</v>
      </c>
      <c r="P17" s="15"/>
      <c r="Q17" s="20"/>
      <c r="R17" s="20"/>
      <c r="S17" s="20"/>
      <c r="T17" s="20"/>
      <c r="U17" s="20"/>
      <c r="V17" s="23"/>
      <c r="W17" s="19"/>
      <c r="X17" s="19"/>
      <c r="Y17" s="19"/>
      <c r="Z17" s="19"/>
      <c r="AA17" s="19"/>
      <c r="AB17" s="19"/>
      <c r="AC17" s="31"/>
    </row>
    <row r="18" spans="1:29">
      <c r="A18" s="98" t="s">
        <v>563</v>
      </c>
      <c r="B18" s="330" t="str">
        <f>'New Hire'!C52</f>
        <v>A</v>
      </c>
      <c r="C18" s="331" t="str">
        <f>'New Hire'!D52</f>
        <v>A</v>
      </c>
      <c r="D18" s="331" t="str">
        <f>'New Hire'!E52</f>
        <v>A</v>
      </c>
      <c r="E18" s="331" t="str">
        <f>'New Hire'!F52</f>
        <v>B</v>
      </c>
      <c r="F18" s="331" t="str">
        <f>'New Hire'!G52</f>
        <v>B</v>
      </c>
      <c r="G18" s="331" t="str">
        <f>'New Hire'!H52</f>
        <v>C</v>
      </c>
      <c r="H18" s="331" t="str">
        <f>'New Hire'!I52</f>
        <v>D</v>
      </c>
      <c r="I18" s="331" t="str">
        <f>'New Hire'!J52</f>
        <v>D</v>
      </c>
      <c r="J18" s="331" t="str">
        <f>'New Hire'!K52</f>
        <v>A</v>
      </c>
      <c r="K18" s="331" t="str">
        <f>'New Hire'!L52</f>
        <v>A</v>
      </c>
      <c r="L18" s="331" t="str">
        <f>'New Hire'!M52</f>
        <v>A</v>
      </c>
      <c r="M18" s="331" t="str">
        <f>'New Hire'!N52</f>
        <v>A</v>
      </c>
      <c r="N18" s="331" t="str">
        <f>'New Hire'!O52</f>
        <v>A</v>
      </c>
      <c r="O18" s="387" t="str">
        <f>'New Hire'!P52</f>
        <v>B</v>
      </c>
      <c r="P18" s="15"/>
      <c r="Q18" s="20"/>
      <c r="R18" s="20"/>
      <c r="S18" s="20"/>
      <c r="T18" s="20"/>
      <c r="U18" s="20"/>
      <c r="V18" s="23"/>
      <c r="W18" s="19"/>
      <c r="X18" s="19"/>
      <c r="Y18" s="19"/>
      <c r="Z18" s="19"/>
      <c r="AA18" s="19"/>
      <c r="AB18" s="19"/>
      <c r="AC18" s="31"/>
    </row>
    <row r="19" spans="1:29">
      <c r="A19" s="97" t="s">
        <v>107</v>
      </c>
      <c r="B19" s="661">
        <v>1</v>
      </c>
      <c r="C19" s="88">
        <v>2</v>
      </c>
      <c r="D19" s="88">
        <v>1</v>
      </c>
      <c r="E19" s="88">
        <v>3</v>
      </c>
      <c r="F19" s="88">
        <v>0</v>
      </c>
      <c r="G19" s="88">
        <v>0</v>
      </c>
      <c r="H19" s="88">
        <v>2</v>
      </c>
      <c r="I19" s="88">
        <v>0</v>
      </c>
      <c r="J19" s="88">
        <v>0</v>
      </c>
      <c r="K19" s="88">
        <v>0</v>
      </c>
      <c r="L19" s="88">
        <v>0</v>
      </c>
      <c r="M19" s="88">
        <v>0</v>
      </c>
      <c r="N19" s="88">
        <v>0</v>
      </c>
      <c r="O19" s="392">
        <v>0</v>
      </c>
      <c r="P19" s="20"/>
      <c r="Q19" s="32"/>
      <c r="R19" s="20"/>
      <c r="S19" s="20"/>
      <c r="T19" s="20"/>
      <c r="U19" s="20"/>
      <c r="V19" s="23"/>
      <c r="W19" s="19"/>
      <c r="X19" s="19"/>
      <c r="Y19" s="19"/>
      <c r="Z19" s="19"/>
      <c r="AA19" s="19"/>
      <c r="AB19" s="19"/>
      <c r="AC19" s="31"/>
    </row>
    <row r="20" spans="1:29" ht="15.6">
      <c r="A20" s="450" t="s">
        <v>113</v>
      </c>
      <c r="B20" s="89">
        <f>IF(OR(B18="A",B18="C"),3600000*B19,0)</f>
        <v>3600000</v>
      </c>
      <c r="C20" s="89">
        <f t="shared" ref="C20:O20" si="3">IF(OR(C18="A",C18="C"),3600000*C19,0)</f>
        <v>7200000</v>
      </c>
      <c r="D20" s="89">
        <f t="shared" si="3"/>
        <v>3600000</v>
      </c>
      <c r="E20" s="89">
        <f t="shared" si="3"/>
        <v>0</v>
      </c>
      <c r="F20" s="89">
        <f t="shared" si="3"/>
        <v>0</v>
      </c>
      <c r="G20" s="89">
        <f t="shared" si="3"/>
        <v>0</v>
      </c>
      <c r="H20" s="89">
        <f t="shared" si="3"/>
        <v>0</v>
      </c>
      <c r="I20" s="89">
        <f t="shared" si="3"/>
        <v>0</v>
      </c>
      <c r="J20" s="89">
        <f t="shared" si="3"/>
        <v>0</v>
      </c>
      <c r="K20" s="89">
        <f t="shared" si="3"/>
        <v>0</v>
      </c>
      <c r="L20" s="89">
        <f t="shared" si="3"/>
        <v>0</v>
      </c>
      <c r="M20" s="89">
        <f t="shared" si="3"/>
        <v>0</v>
      </c>
      <c r="N20" s="89">
        <f t="shared" si="3"/>
        <v>0</v>
      </c>
      <c r="O20" s="89">
        <f t="shared" si="3"/>
        <v>0</v>
      </c>
      <c r="P20" s="662">
        <f>SUM(B20:O20)</f>
        <v>14400000</v>
      </c>
      <c r="Q20" s="32"/>
      <c r="R20" s="20"/>
      <c r="S20" s="20"/>
      <c r="T20" s="20"/>
      <c r="U20" s="20"/>
      <c r="V20" s="40"/>
      <c r="W20" s="41"/>
      <c r="X20" s="19"/>
      <c r="Y20" s="19"/>
      <c r="Z20" s="19"/>
      <c r="AA20" s="19"/>
      <c r="AB20" s="16"/>
      <c r="AC20" s="17"/>
    </row>
    <row r="21" spans="1:29">
      <c r="A21" s="450" t="s">
        <v>114</v>
      </c>
      <c r="B21" s="89">
        <f>IF(OR(B18="A",B18="C"),9000000,0)</f>
        <v>9000000</v>
      </c>
      <c r="C21" s="89">
        <f t="shared" ref="C21:O21" si="4">IF(OR(C18="A",C18="C"),9000000,0)</f>
        <v>9000000</v>
      </c>
      <c r="D21" s="89">
        <f t="shared" si="4"/>
        <v>9000000</v>
      </c>
      <c r="E21" s="89">
        <f t="shared" si="4"/>
        <v>0</v>
      </c>
      <c r="F21" s="89">
        <f t="shared" si="4"/>
        <v>0</v>
      </c>
      <c r="G21" s="89">
        <f t="shared" si="4"/>
        <v>9000000</v>
      </c>
      <c r="H21" s="89">
        <f t="shared" si="4"/>
        <v>0</v>
      </c>
      <c r="I21" s="89">
        <f t="shared" si="4"/>
        <v>0</v>
      </c>
      <c r="J21" s="89">
        <f t="shared" si="4"/>
        <v>9000000</v>
      </c>
      <c r="K21" s="89">
        <f t="shared" si="4"/>
        <v>9000000</v>
      </c>
      <c r="L21" s="89">
        <f t="shared" si="4"/>
        <v>9000000</v>
      </c>
      <c r="M21" s="89">
        <f t="shared" si="4"/>
        <v>9000000</v>
      </c>
      <c r="N21" s="89">
        <f t="shared" si="4"/>
        <v>9000000</v>
      </c>
      <c r="O21" s="89">
        <f t="shared" si="4"/>
        <v>0</v>
      </c>
      <c r="P21" s="662">
        <f>SUM(B21:O21)</f>
        <v>81000000</v>
      </c>
      <c r="Q21" s="32"/>
      <c r="R21" s="20"/>
      <c r="S21" s="20"/>
      <c r="T21" s="20"/>
      <c r="U21" s="20"/>
      <c r="V21" s="50"/>
      <c r="W21" s="44"/>
      <c r="X21" s="44"/>
      <c r="Y21" s="44"/>
      <c r="Z21" s="44"/>
      <c r="AA21" s="44"/>
      <c r="AB21" s="44"/>
      <c r="AC21" s="51"/>
    </row>
    <row r="22" spans="1:29" ht="15.6">
      <c r="A22" s="406" t="s">
        <v>53</v>
      </c>
      <c r="B22" s="64"/>
      <c r="C22" s="65"/>
      <c r="D22" s="65"/>
      <c r="E22" s="66"/>
      <c r="F22" s="65"/>
      <c r="G22" s="65"/>
      <c r="H22" s="21"/>
      <c r="I22" s="65"/>
      <c r="J22" s="65"/>
      <c r="K22" s="66"/>
      <c r="L22" s="66"/>
      <c r="M22" s="66"/>
      <c r="N22" s="66"/>
      <c r="O22" s="376"/>
      <c r="P22" s="376"/>
      <c r="Q22" s="66"/>
      <c r="R22" s="66"/>
      <c r="S22" s="66"/>
      <c r="T22" s="66"/>
      <c r="U22" s="66"/>
      <c r="V22" s="112" t="s">
        <v>57</v>
      </c>
      <c r="W22" s="113" t="s">
        <v>67</v>
      </c>
      <c r="X22" s="113" t="s">
        <v>69</v>
      </c>
      <c r="Y22" s="113" t="s">
        <v>70</v>
      </c>
      <c r="Z22" s="113" t="s">
        <v>56</v>
      </c>
      <c r="AA22" s="113" t="s">
        <v>54</v>
      </c>
      <c r="AB22" s="113" t="s">
        <v>58</v>
      </c>
      <c r="AC22" s="114" t="s">
        <v>59</v>
      </c>
    </row>
    <row r="23" spans="1:29">
      <c r="A23" s="407" t="s">
        <v>55</v>
      </c>
      <c r="B23" s="64"/>
      <c r="C23" s="65"/>
      <c r="D23" s="65"/>
      <c r="E23" s="66"/>
      <c r="F23" s="65"/>
      <c r="G23" s="65"/>
      <c r="H23" s="21"/>
      <c r="I23" s="65"/>
      <c r="J23" s="65"/>
      <c r="K23" s="66"/>
      <c r="L23" s="66"/>
      <c r="M23" s="66"/>
      <c r="N23" s="66"/>
      <c r="O23" s="66"/>
      <c r="P23" s="337"/>
      <c r="Q23" s="66"/>
      <c r="R23" s="66"/>
      <c r="S23" s="66"/>
      <c r="T23" s="66"/>
      <c r="U23" s="66"/>
      <c r="V23" s="350" t="s">
        <v>2</v>
      </c>
      <c r="W23" s="351">
        <v>91999901</v>
      </c>
      <c r="X23" s="352" t="s">
        <v>505</v>
      </c>
      <c r="Y23" s="352" t="s">
        <v>506</v>
      </c>
      <c r="Z23" s="353" t="s">
        <v>507</v>
      </c>
      <c r="AA23" s="354">
        <v>8000000</v>
      </c>
      <c r="AB23" s="352"/>
      <c r="AC23" s="355"/>
    </row>
    <row r="24" spans="1:29">
      <c r="A24" s="436" t="s">
        <v>477</v>
      </c>
      <c r="B24" s="326">
        <f>IF(B11&lt;&gt;"C",ROUND(B146*B81,0),0)</f>
        <v>5000000</v>
      </c>
      <c r="C24" s="326">
        <f t="shared" ref="C24:O24" si="5">IF(C11&lt;&gt;"C",ROUND(C146*C81,0),0)</f>
        <v>4050000</v>
      </c>
      <c r="D24" s="326">
        <f t="shared" si="5"/>
        <v>7000000</v>
      </c>
      <c r="E24" s="326">
        <f t="shared" si="5"/>
        <v>9000000</v>
      </c>
      <c r="F24" s="326">
        <f t="shared" si="5"/>
        <v>11200000</v>
      </c>
      <c r="G24" s="326">
        <f t="shared" si="5"/>
        <v>0</v>
      </c>
      <c r="H24" s="326">
        <f t="shared" si="5"/>
        <v>51051000</v>
      </c>
      <c r="I24" s="326">
        <f t="shared" si="5"/>
        <v>62653500</v>
      </c>
      <c r="J24" s="326">
        <f t="shared" si="5"/>
        <v>30000000</v>
      </c>
      <c r="K24" s="326">
        <f t="shared" si="5"/>
        <v>8000000</v>
      </c>
      <c r="L24" s="326">
        <f t="shared" si="5"/>
        <v>90000000</v>
      </c>
      <c r="M24" s="326">
        <f t="shared" si="5"/>
        <v>5000000</v>
      </c>
      <c r="N24" s="326">
        <f t="shared" si="5"/>
        <v>6500000</v>
      </c>
      <c r="O24" s="326">
        <f t="shared" si="5"/>
        <v>0</v>
      </c>
      <c r="P24" s="338">
        <f>SUM(B24:O24)</f>
        <v>289454500</v>
      </c>
      <c r="Q24" s="89" t="s">
        <v>523</v>
      </c>
      <c r="R24" s="89" t="s">
        <v>523</v>
      </c>
      <c r="S24" s="89" t="s">
        <v>523</v>
      </c>
      <c r="T24" s="89" t="s">
        <v>523</v>
      </c>
      <c r="U24" s="89" t="s">
        <v>523</v>
      </c>
      <c r="V24" s="350" t="s">
        <v>2</v>
      </c>
      <c r="W24" s="351">
        <v>91999902</v>
      </c>
      <c r="X24" s="352" t="s">
        <v>505</v>
      </c>
      <c r="Y24" s="352" t="s">
        <v>506</v>
      </c>
      <c r="Z24" s="353" t="s">
        <v>507</v>
      </c>
      <c r="AA24" s="354">
        <v>8000000</v>
      </c>
      <c r="AB24" s="352"/>
      <c r="AC24" s="355"/>
    </row>
    <row r="25" spans="1:29">
      <c r="A25" s="442" t="s">
        <v>494</v>
      </c>
      <c r="B25" s="326">
        <f>ROUND(B133*B81,0)</f>
        <v>500000</v>
      </c>
      <c r="C25" s="326">
        <f t="shared" ref="C25:O25" si="6">ROUND(C133*C81,0)</f>
        <v>405000</v>
      </c>
      <c r="D25" s="326">
        <f t="shared" si="6"/>
        <v>700000</v>
      </c>
      <c r="E25" s="326">
        <f t="shared" si="6"/>
        <v>0</v>
      </c>
      <c r="F25" s="326">
        <f t="shared" si="6"/>
        <v>0</v>
      </c>
      <c r="G25" s="326">
        <f t="shared" si="6"/>
        <v>0</v>
      </c>
      <c r="H25" s="326">
        <f t="shared" si="6"/>
        <v>5801250</v>
      </c>
      <c r="I25" s="326">
        <f t="shared" si="6"/>
        <v>0</v>
      </c>
      <c r="J25" s="326">
        <f t="shared" si="6"/>
        <v>3000000</v>
      </c>
      <c r="K25" s="326">
        <f t="shared" si="6"/>
        <v>800000</v>
      </c>
      <c r="L25" s="326">
        <f t="shared" si="6"/>
        <v>0</v>
      </c>
      <c r="M25" s="326">
        <f t="shared" si="6"/>
        <v>1000000</v>
      </c>
      <c r="N25" s="326">
        <f t="shared" si="6"/>
        <v>1000000</v>
      </c>
      <c r="O25" s="326">
        <f t="shared" si="6"/>
        <v>0</v>
      </c>
      <c r="P25" s="338">
        <f>SUM(B25:O25)</f>
        <v>13206250</v>
      </c>
      <c r="Q25" s="373" t="s">
        <v>523</v>
      </c>
      <c r="R25" s="373" t="s">
        <v>523</v>
      </c>
      <c r="S25" s="373" t="s">
        <v>523</v>
      </c>
      <c r="T25" s="373" t="s">
        <v>523</v>
      </c>
      <c r="U25" s="89" t="s">
        <v>523</v>
      </c>
      <c r="V25" s="350" t="s">
        <v>2</v>
      </c>
      <c r="W25" s="351">
        <v>91999904</v>
      </c>
      <c r="X25" s="352" t="s">
        <v>509</v>
      </c>
      <c r="Y25" s="352" t="s">
        <v>506</v>
      </c>
      <c r="Z25" s="353" t="s">
        <v>507</v>
      </c>
      <c r="AA25" s="354">
        <v>8000000</v>
      </c>
      <c r="AB25" s="352"/>
      <c r="AC25" s="355"/>
    </row>
    <row r="26" spans="1:29">
      <c r="A26" s="442" t="s">
        <v>566</v>
      </c>
      <c r="B26" s="326">
        <f>ROUND(B134*B81,0)</f>
        <v>1000000</v>
      </c>
      <c r="C26" s="326">
        <f t="shared" ref="C26:O26" si="7">ROUND(C134*C81,0)</f>
        <v>810000</v>
      </c>
      <c r="D26" s="326">
        <f t="shared" si="7"/>
        <v>1400000</v>
      </c>
      <c r="E26" s="326">
        <f t="shared" si="7"/>
        <v>0</v>
      </c>
      <c r="F26" s="326">
        <f t="shared" si="7"/>
        <v>0</v>
      </c>
      <c r="G26" s="326">
        <f t="shared" si="7"/>
        <v>0</v>
      </c>
      <c r="H26" s="326">
        <f t="shared" si="7"/>
        <v>11602500</v>
      </c>
      <c r="I26" s="326">
        <f t="shared" si="7"/>
        <v>0</v>
      </c>
      <c r="J26" s="326">
        <f t="shared" si="7"/>
        <v>6000000</v>
      </c>
      <c r="K26" s="326">
        <f t="shared" si="7"/>
        <v>1600000</v>
      </c>
      <c r="L26" s="326">
        <f t="shared" si="7"/>
        <v>0</v>
      </c>
      <c r="M26" s="326">
        <f t="shared" si="7"/>
        <v>1500000</v>
      </c>
      <c r="N26" s="326">
        <f t="shared" si="7"/>
        <v>1500000</v>
      </c>
      <c r="O26" s="326">
        <f t="shared" si="7"/>
        <v>0</v>
      </c>
      <c r="P26" s="338">
        <f>SUM(B26:O26)</f>
        <v>25412500</v>
      </c>
      <c r="Q26" s="373" t="s">
        <v>523</v>
      </c>
      <c r="R26" s="373" t="s">
        <v>523</v>
      </c>
      <c r="S26" s="373" t="s">
        <v>523</v>
      </c>
      <c r="T26" s="373" t="s">
        <v>523</v>
      </c>
      <c r="U26" s="89" t="s">
        <v>523</v>
      </c>
      <c r="V26" s="350" t="s">
        <v>2</v>
      </c>
      <c r="W26" s="351">
        <v>91999905</v>
      </c>
      <c r="X26" s="352" t="s">
        <v>505</v>
      </c>
      <c r="Y26" s="352" t="s">
        <v>506</v>
      </c>
      <c r="Z26" s="353" t="s">
        <v>507</v>
      </c>
      <c r="AA26" s="354">
        <v>8000000</v>
      </c>
      <c r="AB26" s="352"/>
      <c r="AC26" s="355"/>
    </row>
    <row r="27" spans="1:29">
      <c r="A27" s="405" t="s">
        <v>426</v>
      </c>
      <c r="B27" s="325"/>
      <c r="C27" s="326"/>
      <c r="D27" s="326"/>
      <c r="E27" s="334"/>
      <c r="F27" s="326"/>
      <c r="G27" s="326">
        <f>ROUND(G132*AC66,0)+ROUND(G132*AC67,0)</f>
        <v>23205000</v>
      </c>
      <c r="H27" s="326"/>
      <c r="I27" s="326"/>
      <c r="J27" s="326"/>
      <c r="K27" s="334"/>
      <c r="L27" s="334"/>
      <c r="M27" s="334"/>
      <c r="N27" s="334"/>
      <c r="O27" s="334">
        <f>ROUND(O132*AC68,0)+ROUND(O132*AC69,0)</f>
        <v>4000000</v>
      </c>
      <c r="P27" s="338">
        <f>SUM(B27:O27)</f>
        <v>27205000</v>
      </c>
      <c r="Q27" s="373" t="s">
        <v>523</v>
      </c>
      <c r="R27" s="373" t="s">
        <v>523</v>
      </c>
      <c r="S27" s="373"/>
      <c r="T27" s="373"/>
      <c r="U27" s="373"/>
      <c r="V27" s="350" t="s">
        <v>2</v>
      </c>
      <c r="W27" s="351">
        <v>91999906</v>
      </c>
      <c r="X27" s="352" t="s">
        <v>505</v>
      </c>
      <c r="Y27" s="352" t="s">
        <v>506</v>
      </c>
      <c r="Z27" s="353" t="s">
        <v>507</v>
      </c>
      <c r="AA27" s="354">
        <v>8000000</v>
      </c>
      <c r="AB27" s="352"/>
      <c r="AC27" s="355"/>
    </row>
    <row r="28" spans="1:29">
      <c r="A28" s="442"/>
      <c r="B28" s="326"/>
      <c r="C28" s="326"/>
      <c r="D28" s="326"/>
      <c r="E28" s="326"/>
      <c r="F28" s="326"/>
      <c r="G28" s="326"/>
      <c r="H28" s="326"/>
      <c r="I28" s="362"/>
      <c r="J28" s="362"/>
      <c r="K28" s="362"/>
      <c r="L28" s="326"/>
      <c r="M28" s="326"/>
      <c r="N28" s="326"/>
      <c r="O28" s="326"/>
      <c r="P28" s="338"/>
      <c r="Q28" s="373"/>
      <c r="R28" s="373"/>
      <c r="S28" s="373"/>
      <c r="T28" s="373"/>
      <c r="U28" s="373"/>
      <c r="V28" s="350" t="s">
        <v>2</v>
      </c>
      <c r="W28" s="351">
        <v>91999907</v>
      </c>
      <c r="X28" s="352" t="s">
        <v>505</v>
      </c>
      <c r="Y28" s="352" t="s">
        <v>506</v>
      </c>
      <c r="Z28" s="353" t="s">
        <v>535</v>
      </c>
      <c r="AA28" s="354">
        <v>7000000</v>
      </c>
      <c r="AB28" s="352"/>
      <c r="AC28" s="355"/>
    </row>
    <row r="29" spans="1:29">
      <c r="A29" s="510" t="s">
        <v>840</v>
      </c>
      <c r="B29" s="326"/>
      <c r="C29" s="326"/>
      <c r="D29" s="326"/>
      <c r="E29" s="334"/>
      <c r="F29" s="326"/>
      <c r="G29" s="326"/>
      <c r="H29" s="326"/>
      <c r="I29" s="326"/>
      <c r="J29" s="326"/>
      <c r="K29" s="334"/>
      <c r="L29" s="334"/>
      <c r="M29" s="334"/>
      <c r="N29" s="334"/>
      <c r="O29" s="334"/>
      <c r="P29" s="338"/>
      <c r="Q29" s="374"/>
      <c r="R29" s="373"/>
      <c r="S29" s="374"/>
      <c r="T29" s="374"/>
      <c r="U29" s="374"/>
      <c r="V29" s="350" t="s">
        <v>2</v>
      </c>
      <c r="W29" s="351">
        <v>91999907</v>
      </c>
      <c r="X29" s="352" t="s">
        <v>596</v>
      </c>
      <c r="Y29" s="352" t="s">
        <v>506</v>
      </c>
      <c r="Z29" s="353">
        <v>7065</v>
      </c>
      <c r="AA29" s="354">
        <v>100</v>
      </c>
      <c r="AB29" s="438" t="s">
        <v>539</v>
      </c>
      <c r="AC29" s="439"/>
    </row>
    <row r="30" spans="1:29">
      <c r="A30" s="436" t="s">
        <v>841</v>
      </c>
      <c r="B30" s="326">
        <f>MIN((SUM(B24:B26)+SUM(B31:B34)+B106)*15%,B63)</f>
        <v>0</v>
      </c>
      <c r="C30" s="326"/>
      <c r="D30" s="326"/>
      <c r="E30" s="326">
        <f>MIN((SUM(E24:E26)+SUM(E31:E34)+E106)*15%,E63)</f>
        <v>0</v>
      </c>
      <c r="F30" s="326"/>
      <c r="G30" s="326"/>
      <c r="H30" s="326"/>
      <c r="I30" s="326">
        <f>MIN((SUM(I24:I26)+SUM(I31:I34)+I106)*15%,I63)</f>
        <v>3480750</v>
      </c>
      <c r="J30" s="326"/>
      <c r="K30" s="326">
        <f>MIN((SUM(K24:K26)+SUM(K31:K34)+K106)*15%,K63)</f>
        <v>4000000</v>
      </c>
      <c r="L30" s="334"/>
      <c r="M30" s="334"/>
      <c r="N30" s="334"/>
      <c r="O30" s="334"/>
      <c r="P30" s="339">
        <f>SUM(B30:O30)</f>
        <v>7480750</v>
      </c>
      <c r="Q30" s="373"/>
      <c r="R30" s="373" t="s">
        <v>591</v>
      </c>
      <c r="S30" s="373"/>
      <c r="T30" s="373"/>
      <c r="U30" s="373"/>
      <c r="V30" s="350" t="s">
        <v>2</v>
      </c>
      <c r="W30" s="351">
        <v>91999908</v>
      </c>
      <c r="X30" s="352" t="s">
        <v>505</v>
      </c>
      <c r="Y30" s="352" t="s">
        <v>506</v>
      </c>
      <c r="Z30" s="353">
        <v>7065</v>
      </c>
      <c r="AA30" s="354">
        <v>100</v>
      </c>
      <c r="AB30" s="438" t="s">
        <v>539</v>
      </c>
      <c r="AC30" s="439"/>
    </row>
    <row r="31" spans="1:29">
      <c r="A31" s="436" t="s">
        <v>842</v>
      </c>
      <c r="B31" s="326">
        <f>AA46</f>
        <v>5000000</v>
      </c>
      <c r="C31" s="326"/>
      <c r="D31" s="326"/>
      <c r="E31" s="431">
        <f>AA47</f>
        <v>5000000</v>
      </c>
      <c r="F31" s="326"/>
      <c r="I31" s="326">
        <f>AA48</f>
        <v>5000000</v>
      </c>
      <c r="K31" s="326">
        <f>AA49</f>
        <v>5000000</v>
      </c>
      <c r="L31" s="334"/>
      <c r="M31" s="334"/>
      <c r="N31" s="334"/>
      <c r="O31" s="334"/>
      <c r="P31" s="339">
        <f>SUM(B31:O31)</f>
        <v>20000000</v>
      </c>
      <c r="Q31" s="373"/>
      <c r="R31" s="373" t="s">
        <v>591</v>
      </c>
      <c r="S31" s="373"/>
      <c r="T31" s="373"/>
      <c r="U31" s="373"/>
      <c r="V31" s="350" t="s">
        <v>2</v>
      </c>
      <c r="W31" s="351">
        <v>91999907</v>
      </c>
      <c r="X31" s="352" t="s">
        <v>596</v>
      </c>
      <c r="Y31" s="352" t="s">
        <v>506</v>
      </c>
      <c r="Z31" s="353">
        <v>7070</v>
      </c>
      <c r="AA31" s="354">
        <v>200</v>
      </c>
      <c r="AB31" s="438" t="s">
        <v>539</v>
      </c>
      <c r="AC31" s="439"/>
    </row>
    <row r="32" spans="1:29">
      <c r="A32" s="436" t="s">
        <v>843</v>
      </c>
      <c r="B32" s="326">
        <f>AA50</f>
        <v>6000000</v>
      </c>
      <c r="C32" s="326"/>
      <c r="D32" s="326"/>
      <c r="E32" s="431">
        <f>AA51</f>
        <v>6000000</v>
      </c>
      <c r="F32" s="326"/>
      <c r="I32" s="326">
        <f>AA52</f>
        <v>6000000</v>
      </c>
      <c r="K32" s="326">
        <f>AA53</f>
        <v>6000000</v>
      </c>
      <c r="L32" s="334"/>
      <c r="M32" s="334"/>
      <c r="N32" s="334"/>
      <c r="O32" s="334"/>
      <c r="P32" s="339">
        <f>SUM(B32:O32)</f>
        <v>24000000</v>
      </c>
      <c r="Q32" s="373"/>
      <c r="R32" s="373" t="s">
        <v>591</v>
      </c>
      <c r="S32" s="373"/>
      <c r="T32" s="373"/>
      <c r="U32" s="373"/>
      <c r="V32" s="350" t="s">
        <v>2</v>
      </c>
      <c r="W32" s="351">
        <v>91999908</v>
      </c>
      <c r="X32" s="352" t="s">
        <v>505</v>
      </c>
      <c r="Y32" s="352" t="s">
        <v>506</v>
      </c>
      <c r="Z32" s="353">
        <v>7070</v>
      </c>
      <c r="AA32" s="354">
        <v>200</v>
      </c>
      <c r="AB32" s="438" t="s">
        <v>539</v>
      </c>
      <c r="AC32" s="439"/>
    </row>
    <row r="33" spans="1:29">
      <c r="A33" s="436" t="s">
        <v>844</v>
      </c>
      <c r="B33" s="326">
        <f>AA54</f>
        <v>7000000</v>
      </c>
      <c r="C33" s="326"/>
      <c r="D33" s="326"/>
      <c r="E33" s="431">
        <f>AA55</f>
        <v>7000000</v>
      </c>
      <c r="F33" s="326"/>
      <c r="I33" s="326">
        <f>AA56</f>
        <v>7000000</v>
      </c>
      <c r="K33" s="326">
        <f>AA57</f>
        <v>7000000</v>
      </c>
      <c r="L33" s="334"/>
      <c r="M33" s="334"/>
      <c r="N33" s="334"/>
      <c r="O33" s="395"/>
      <c r="P33" s="340">
        <f>SUM(B33:O33)</f>
        <v>28000000</v>
      </c>
      <c r="Q33" s="373"/>
      <c r="R33" s="373" t="s">
        <v>591</v>
      </c>
      <c r="S33" s="373"/>
      <c r="T33" s="373"/>
      <c r="U33" s="373"/>
      <c r="V33" s="350" t="s">
        <v>2</v>
      </c>
      <c r="W33" s="351">
        <v>91999901</v>
      </c>
      <c r="X33" s="352" t="s">
        <v>505</v>
      </c>
      <c r="Y33" s="352" t="s">
        <v>506</v>
      </c>
      <c r="Z33" s="353">
        <v>9140</v>
      </c>
      <c r="AA33" s="354"/>
      <c r="AB33" s="438">
        <v>0.76</v>
      </c>
      <c r="AC33" s="439"/>
    </row>
    <row r="34" spans="1:29">
      <c r="A34" s="436" t="s">
        <v>845</v>
      </c>
      <c r="B34" s="326">
        <f>AA58</f>
        <v>8000000</v>
      </c>
      <c r="C34" s="326"/>
      <c r="D34" s="326"/>
      <c r="E34" s="431">
        <f>AA59</f>
        <v>8000000</v>
      </c>
      <c r="F34" s="326"/>
      <c r="I34" s="326">
        <f>AA60</f>
        <v>8000000</v>
      </c>
      <c r="K34" s="326">
        <f>AA61</f>
        <v>8000000</v>
      </c>
      <c r="L34" s="334"/>
      <c r="M34" s="334"/>
      <c r="N34" s="334"/>
      <c r="O34" s="395"/>
      <c r="P34" s="340">
        <f>SUM(B34:O34)</f>
        <v>32000000</v>
      </c>
      <c r="Q34" s="373"/>
      <c r="R34" s="373"/>
      <c r="S34" s="373"/>
      <c r="T34" s="373"/>
      <c r="U34" s="373"/>
      <c r="V34" s="350" t="s">
        <v>2</v>
      </c>
      <c r="W34" s="351">
        <v>91999907</v>
      </c>
      <c r="X34" s="352" t="s">
        <v>505</v>
      </c>
      <c r="Y34" s="352" t="s">
        <v>506</v>
      </c>
      <c r="Z34" s="353">
        <v>9140</v>
      </c>
      <c r="AA34" s="354"/>
      <c r="AB34" s="438">
        <v>0.56000000000000005</v>
      </c>
      <c r="AC34" s="439"/>
    </row>
    <row r="35" spans="1:29">
      <c r="A35" s="405"/>
      <c r="B35" s="325"/>
      <c r="C35" s="326"/>
      <c r="D35" s="326"/>
      <c r="E35" s="334"/>
      <c r="F35" s="362"/>
      <c r="G35" s="362"/>
      <c r="H35" s="362"/>
      <c r="I35" s="362"/>
      <c r="J35" s="362"/>
      <c r="K35" s="334"/>
      <c r="L35" s="334"/>
      <c r="M35" s="334"/>
      <c r="N35" s="334"/>
      <c r="O35" s="395"/>
      <c r="P35" s="349"/>
      <c r="Q35" s="373"/>
      <c r="R35" s="373"/>
      <c r="S35" s="373"/>
      <c r="T35" s="373"/>
      <c r="U35" s="373"/>
      <c r="V35" s="350" t="s">
        <v>747</v>
      </c>
      <c r="W35" s="351">
        <v>91999905</v>
      </c>
      <c r="X35" s="352" t="s">
        <v>505</v>
      </c>
      <c r="Y35" s="352" t="s">
        <v>506</v>
      </c>
      <c r="Z35" s="353" t="s">
        <v>641</v>
      </c>
      <c r="AA35" s="354"/>
      <c r="AB35" s="438">
        <v>1</v>
      </c>
      <c r="AC35" s="439"/>
    </row>
    <row r="36" spans="1:29">
      <c r="A36" s="409" t="s">
        <v>569</v>
      </c>
      <c r="B36" s="325"/>
      <c r="C36" s="326"/>
      <c r="D36" s="326"/>
      <c r="E36" s="334"/>
      <c r="F36" s="326"/>
      <c r="G36" s="326"/>
      <c r="H36" s="326"/>
      <c r="I36" s="326"/>
      <c r="J36" s="326"/>
      <c r="K36" s="334"/>
      <c r="L36" s="334"/>
      <c r="M36" s="334"/>
      <c r="N36" s="334"/>
      <c r="O36" s="395"/>
      <c r="P36" s="349"/>
      <c r="Q36" s="374"/>
      <c r="R36" s="373"/>
      <c r="S36" s="374"/>
      <c r="T36" s="374"/>
      <c r="U36" s="374"/>
      <c r="V36" s="350" t="s">
        <v>2</v>
      </c>
      <c r="W36" s="351">
        <v>91999908</v>
      </c>
      <c r="X36" s="438" t="s">
        <v>596</v>
      </c>
      <c r="Y36" s="352" t="s">
        <v>847</v>
      </c>
      <c r="Z36" s="353">
        <v>3601</v>
      </c>
      <c r="AA36" s="354">
        <v>150</v>
      </c>
      <c r="AB36" s="438" t="s">
        <v>539</v>
      </c>
      <c r="AC36" s="439"/>
    </row>
    <row r="37" spans="1:29">
      <c r="A37" s="436" t="s">
        <v>532</v>
      </c>
      <c r="B37" s="326">
        <f>IF(OR(B18="A",B18="B"),ROUND(ROUND(2369796*B19*B16*IF(B17&lt;3,0,IF(B17&lt;6,50%,100%)),0)*B13/365,0),ROUND(ROUND(2466.55*$B$4,0)*B16*B13/365,0))</f>
        <v>194778</v>
      </c>
      <c r="C37" s="326">
        <f>IF(OR(C18="A",C18="B"),ROUND(ROUND(2369796*C19*C16*IF(C17&lt;3,0,IF(C17&lt;6,50%,100%)),0)*C13/365,0),ROUND(ROUND(2466.55*$B$4,0)*C16*C13/365,0))</f>
        <v>350600</v>
      </c>
      <c r="D37" s="326"/>
      <c r="E37" s="326">
        <f>IF(OR(E18="A",E18="B"),ROUND(ROUND(2369796*E19*E16*IF(E17&lt;3,0,IF(E17&lt;6,50%,100%)),0)*E13/365,0),ROUND(ROUND(2466.55*$B$4,0)*E16*E13/365,0))</f>
        <v>292167</v>
      </c>
      <c r="F37" s="326"/>
      <c r="G37" s="326"/>
      <c r="H37" s="354">
        <f>(ROUND(2466.55*$B$4/365*H16,0)+ROUND(863.29*$B$4/365*H16,0))*H13</f>
        <v>3175436</v>
      </c>
      <c r="I37" s="326"/>
      <c r="J37" s="326"/>
      <c r="K37" s="326"/>
      <c r="L37" s="326"/>
      <c r="M37" s="326"/>
      <c r="N37" s="326"/>
      <c r="O37" s="394"/>
      <c r="P37" s="340">
        <f>SUM(B37:O37)</f>
        <v>4012981</v>
      </c>
      <c r="Q37" s="373"/>
      <c r="R37" s="373" t="s">
        <v>591</v>
      </c>
      <c r="S37" s="373"/>
      <c r="T37" s="373"/>
      <c r="U37" s="373"/>
      <c r="V37" s="350" t="s">
        <v>2</v>
      </c>
      <c r="W37" s="351">
        <v>91999910</v>
      </c>
      <c r="X37" s="438" t="s">
        <v>505</v>
      </c>
      <c r="Y37" s="352" t="s">
        <v>847</v>
      </c>
      <c r="Z37" s="353">
        <v>3601</v>
      </c>
      <c r="AA37" s="354">
        <v>4000000</v>
      </c>
      <c r="AB37" s="438"/>
      <c r="AC37" s="439"/>
    </row>
    <row r="38" spans="1:29">
      <c r="A38" s="405"/>
      <c r="B38" s="325"/>
      <c r="C38" s="326"/>
      <c r="D38" s="326"/>
      <c r="E38" s="334"/>
      <c r="F38" s="362"/>
      <c r="G38" s="362"/>
      <c r="H38" s="362"/>
      <c r="I38" s="362"/>
      <c r="J38" s="362"/>
      <c r="K38" s="334"/>
      <c r="L38" s="334"/>
      <c r="M38" s="334"/>
      <c r="N38" s="334"/>
      <c r="O38" s="395"/>
      <c r="P38" s="349"/>
      <c r="Q38" s="373"/>
      <c r="R38" s="373"/>
      <c r="S38" s="373"/>
      <c r="T38" s="373"/>
      <c r="U38" s="373"/>
      <c r="V38" s="32"/>
      <c r="W38" s="44"/>
      <c r="X38" s="13"/>
      <c r="Y38" s="13"/>
      <c r="Z38" s="13"/>
      <c r="AA38" s="13"/>
      <c r="AB38" s="13"/>
      <c r="AC38" s="18"/>
    </row>
    <row r="39" spans="1:29">
      <c r="A39" s="441" t="s">
        <v>61</v>
      </c>
      <c r="B39" s="359">
        <f t="shared" ref="B39:O39" si="8">SUM(B24:B27)</f>
        <v>6500000</v>
      </c>
      <c r="C39" s="360">
        <f t="shared" si="8"/>
        <v>5265000</v>
      </c>
      <c r="D39" s="360">
        <f t="shared" si="8"/>
        <v>9100000</v>
      </c>
      <c r="E39" s="360">
        <f t="shared" si="8"/>
        <v>9000000</v>
      </c>
      <c r="F39" s="360">
        <f t="shared" si="8"/>
        <v>11200000</v>
      </c>
      <c r="G39" s="360">
        <f t="shared" si="8"/>
        <v>23205000</v>
      </c>
      <c r="H39" s="360">
        <f t="shared" si="8"/>
        <v>68454750</v>
      </c>
      <c r="I39" s="360">
        <f t="shared" si="8"/>
        <v>62653500</v>
      </c>
      <c r="J39" s="360">
        <f t="shared" si="8"/>
        <v>39000000</v>
      </c>
      <c r="K39" s="360">
        <f t="shared" si="8"/>
        <v>10400000</v>
      </c>
      <c r="L39" s="360">
        <f t="shared" si="8"/>
        <v>90000000</v>
      </c>
      <c r="M39" s="360">
        <f t="shared" si="8"/>
        <v>7500000</v>
      </c>
      <c r="N39" s="480">
        <f t="shared" si="8"/>
        <v>9000000</v>
      </c>
      <c r="O39" s="481">
        <f t="shared" si="8"/>
        <v>4000000</v>
      </c>
      <c r="P39" s="349">
        <f>SUM(B39:O39)</f>
        <v>355278250</v>
      </c>
      <c r="Q39" s="373"/>
      <c r="R39" s="373"/>
      <c r="S39" s="373"/>
      <c r="T39" s="373"/>
      <c r="U39" s="373"/>
      <c r="V39" s="32"/>
      <c r="W39" s="44"/>
      <c r="X39" s="13"/>
      <c r="Y39" s="13"/>
      <c r="Z39" s="13"/>
      <c r="AA39" s="13"/>
      <c r="AB39" s="13"/>
      <c r="AC39" s="18"/>
    </row>
    <row r="40" spans="1:29">
      <c r="A40" s="411"/>
      <c r="B40" s="325"/>
      <c r="C40" s="326"/>
      <c r="D40" s="326"/>
      <c r="E40" s="334"/>
      <c r="F40" s="326"/>
      <c r="G40" s="326"/>
      <c r="H40" s="326"/>
      <c r="I40" s="326"/>
      <c r="J40" s="326"/>
      <c r="K40" s="334"/>
      <c r="L40" s="334"/>
      <c r="M40" s="334"/>
      <c r="N40" s="334"/>
      <c r="O40" s="395"/>
      <c r="P40" s="349"/>
      <c r="Q40" s="373"/>
      <c r="R40" s="373"/>
      <c r="S40" s="373"/>
      <c r="T40" s="373"/>
      <c r="U40" s="373"/>
      <c r="V40" s="32"/>
      <c r="W40" s="44"/>
      <c r="X40" s="13"/>
      <c r="Y40" s="13"/>
      <c r="Z40" s="13"/>
      <c r="AA40" s="13"/>
      <c r="AB40" s="13"/>
      <c r="AC40" s="18"/>
    </row>
    <row r="41" spans="1:29" ht="15.6">
      <c r="A41" s="412" t="s">
        <v>60</v>
      </c>
      <c r="B41" s="363"/>
      <c r="C41" s="356"/>
      <c r="D41" s="356"/>
      <c r="E41" s="364"/>
      <c r="F41" s="356"/>
      <c r="G41" s="356"/>
      <c r="H41" s="356"/>
      <c r="I41" s="356"/>
      <c r="J41" s="356"/>
      <c r="K41" s="364"/>
      <c r="L41" s="364"/>
      <c r="M41" s="364"/>
      <c r="N41" s="364"/>
      <c r="O41" s="364"/>
      <c r="P41" s="338"/>
      <c r="Q41" s="373"/>
      <c r="R41" s="373"/>
      <c r="S41" s="373"/>
      <c r="T41" s="373"/>
      <c r="U41" s="373"/>
      <c r="V41" s="32"/>
      <c r="W41" s="44"/>
      <c r="X41" s="13"/>
      <c r="Y41" s="13"/>
      <c r="Z41" s="13"/>
      <c r="AA41" s="13"/>
      <c r="AB41" s="13"/>
      <c r="AC41" s="18"/>
    </row>
    <row r="42" spans="1:29">
      <c r="A42" s="407" t="s">
        <v>55</v>
      </c>
      <c r="B42" s="363"/>
      <c r="C42" s="356"/>
      <c r="D42" s="356"/>
      <c r="E42" s="364"/>
      <c r="F42" s="356"/>
      <c r="G42" s="356"/>
      <c r="H42" s="356"/>
      <c r="I42" s="356"/>
      <c r="J42" s="356"/>
      <c r="K42" s="364"/>
      <c r="L42" s="364"/>
      <c r="M42" s="364"/>
      <c r="N42" s="364"/>
      <c r="O42" s="364"/>
      <c r="P42" s="338"/>
      <c r="Q42" s="373"/>
      <c r="R42" s="373"/>
      <c r="S42" s="373"/>
      <c r="T42" s="373"/>
      <c r="U42" s="373"/>
      <c r="V42" s="42"/>
      <c r="W42" s="43"/>
      <c r="X42" s="760" t="s">
        <v>90</v>
      </c>
      <c r="Y42" s="760"/>
      <c r="Z42" s="760"/>
      <c r="AA42" s="760"/>
      <c r="AB42" s="13"/>
      <c r="AC42" s="18"/>
    </row>
    <row r="43" spans="1:29">
      <c r="A43" s="417" t="s">
        <v>573</v>
      </c>
      <c r="B43" s="326">
        <f>ROUND(B91*'New Hire'!C54,0)</f>
        <v>520000</v>
      </c>
      <c r="C43" s="326">
        <f>ROUND(C91*'New Hire'!D54,0)</f>
        <v>421200</v>
      </c>
      <c r="D43" s="326">
        <f>ROUND(D91*'New Hire'!E54,0)</f>
        <v>0</v>
      </c>
      <c r="E43" s="326">
        <f>ROUND(E91*'New Hire'!F54,0)</f>
        <v>720000</v>
      </c>
      <c r="F43" s="326">
        <f>ROUND(F91*'New Hire'!G54,0)</f>
        <v>0</v>
      </c>
      <c r="G43" s="326">
        <f>ROUND(G91*'New Hire'!H54,0)</f>
        <v>0</v>
      </c>
      <c r="H43" s="326">
        <f>ROUND(H91*'New Hire'!I54,0)</f>
        <v>0</v>
      </c>
      <c r="I43" s="326">
        <f>ROUND(I91*'New Hire'!J54,0)</f>
        <v>0</v>
      </c>
      <c r="J43" s="326">
        <f>ROUND(J91*'New Hire'!K54,0)</f>
        <v>2224000</v>
      </c>
      <c r="K43" s="326">
        <f>ROUND(K91*'New Hire'!L54,0)</f>
        <v>0</v>
      </c>
      <c r="L43" s="326">
        <f>ROUND(L91*'New Hire'!M54,0)</f>
        <v>2224000</v>
      </c>
      <c r="M43" s="326">
        <f>ROUND(M91*'New Hire'!N54,0)</f>
        <v>0</v>
      </c>
      <c r="N43" s="326">
        <f>ROUND(N91*'New Hire'!O54,0)</f>
        <v>0</v>
      </c>
      <c r="O43" s="326">
        <f>ROUND(O91*'New Hire'!P54,0)</f>
        <v>0</v>
      </c>
      <c r="P43" s="338">
        <f>SUM(B43:O43)</f>
        <v>6109200</v>
      </c>
      <c r="Q43" s="373"/>
      <c r="R43" s="373"/>
      <c r="S43" s="373"/>
      <c r="T43" s="373"/>
      <c r="U43" s="373"/>
      <c r="V43" s="24" t="s">
        <v>57</v>
      </c>
      <c r="W43" s="37" t="s">
        <v>67</v>
      </c>
      <c r="X43" s="37" t="s">
        <v>69</v>
      </c>
      <c r="Y43" s="37" t="s">
        <v>70</v>
      </c>
      <c r="Z43" s="37" t="s">
        <v>56</v>
      </c>
      <c r="AA43" s="37" t="s">
        <v>71</v>
      </c>
      <c r="AB43" s="37" t="s">
        <v>58</v>
      </c>
      <c r="AC43" s="38" t="s">
        <v>59</v>
      </c>
    </row>
    <row r="44" spans="1:29">
      <c r="A44" s="436" t="s">
        <v>574</v>
      </c>
      <c r="B44" s="326">
        <f>ROUND(MIN(B92,83600000)*'New Hire'!C57,0)</f>
        <v>65000</v>
      </c>
      <c r="C44" s="326">
        <f>ROUND(MIN(C92,83600000)*'New Hire'!D57,0)</f>
        <v>52650</v>
      </c>
      <c r="D44" s="326">
        <f>ROUND(MIN(D92,83600000)*'New Hire'!E57,0)</f>
        <v>91000</v>
      </c>
      <c r="E44" s="326">
        <f>ROUND(MIN(E92,83600000)*'New Hire'!F57,0)</f>
        <v>90000</v>
      </c>
      <c r="F44" s="326">
        <f>ROUND(MIN(F92,83600000)*'New Hire'!G57,0)</f>
        <v>0</v>
      </c>
      <c r="G44" s="326">
        <f>ROUND(MIN(G92,83600000)*'New Hire'!H57,0)</f>
        <v>0</v>
      </c>
      <c r="H44" s="326">
        <f>ROUND(MIN(H92,83600000)*'New Hire'!I57,0)</f>
        <v>0</v>
      </c>
      <c r="I44" s="326">
        <f>ROUND(MIN(I92,83600000)*'New Hire'!J57,0)</f>
        <v>0</v>
      </c>
      <c r="J44" s="326">
        <f>ROUND(MIN(J92,83600000)*'New Hire'!K57,0)</f>
        <v>390000</v>
      </c>
      <c r="K44" s="326">
        <f>ROUND(MIN(K92,83600000)*'New Hire'!L57,0)</f>
        <v>0</v>
      </c>
      <c r="L44" s="326">
        <f>ROUND(MIN(L92,83600000)*'New Hire'!M57,0)</f>
        <v>836000</v>
      </c>
      <c r="M44" s="326">
        <f>ROUND(MIN(M92,83600000)*'New Hire'!N57,0)</f>
        <v>0</v>
      </c>
      <c r="N44" s="326">
        <f>ROUND(MIN(N92,83600000)*'New Hire'!O57,0)</f>
        <v>0</v>
      </c>
      <c r="O44" s="326">
        <f>ROUND(MIN(O92,83600000)*'New Hire'!P57,0)</f>
        <v>0</v>
      </c>
      <c r="P44" s="338">
        <f t="shared" ref="P44:P50" si="9">SUM(B44:O44)</f>
        <v>1524650</v>
      </c>
      <c r="Q44" s="373"/>
      <c r="R44" s="373"/>
      <c r="S44" s="373"/>
      <c r="T44" s="373"/>
      <c r="U44" s="373"/>
      <c r="V44" s="49" t="s">
        <v>0</v>
      </c>
      <c r="W44" s="39">
        <v>91999908</v>
      </c>
      <c r="X44" s="80" t="s">
        <v>852</v>
      </c>
      <c r="Y44" s="80" t="s">
        <v>852</v>
      </c>
      <c r="Z44" s="60">
        <v>3602</v>
      </c>
      <c r="AA44" s="326">
        <v>3480750</v>
      </c>
      <c r="AB44" s="80"/>
      <c r="AC44" s="11"/>
    </row>
    <row r="45" spans="1:29">
      <c r="A45" s="436" t="s">
        <v>575</v>
      </c>
      <c r="B45" s="326">
        <f>ROUND(B91*'New Hire'!C60,0)</f>
        <v>97500</v>
      </c>
      <c r="C45" s="326">
        <f>ROUND(C91*'New Hire'!D60,0)</f>
        <v>78975</v>
      </c>
      <c r="D45" s="326">
        <f>ROUND(D91*'New Hire'!E60,0)</f>
        <v>136500</v>
      </c>
      <c r="E45" s="326">
        <f>ROUND(E91*'New Hire'!F60,0)</f>
        <v>135000</v>
      </c>
      <c r="F45" s="326">
        <f>ROUND(F91*'New Hire'!G60,0)</f>
        <v>0</v>
      </c>
      <c r="G45" s="326">
        <f>ROUND(G91*'New Hire'!H60,0)</f>
        <v>0</v>
      </c>
      <c r="H45" s="326">
        <f>ROUND(H91*'New Hire'!I60,0)</f>
        <v>417000</v>
      </c>
      <c r="I45" s="326">
        <f>ROUND(I91*'New Hire'!J60,0)</f>
        <v>417000</v>
      </c>
      <c r="J45" s="326">
        <f>ROUND(J91*'New Hire'!K60,0)</f>
        <v>417000</v>
      </c>
      <c r="K45" s="326">
        <f>ROUND(K91*'New Hire'!L60,0)</f>
        <v>0</v>
      </c>
      <c r="L45" s="326">
        <f>ROUND(L91*'New Hire'!M60,0)</f>
        <v>417000</v>
      </c>
      <c r="M45" s="326">
        <f>ROUND(M91*'New Hire'!N60,0)</f>
        <v>0</v>
      </c>
      <c r="N45" s="326">
        <f>ROUND(N91*'New Hire'!O60,0)</f>
        <v>0</v>
      </c>
      <c r="O45" s="326">
        <f>ROUND(O91*'New Hire'!P60,0)</f>
        <v>0</v>
      </c>
      <c r="P45" s="338">
        <f t="shared" si="9"/>
        <v>2115975</v>
      </c>
      <c r="Q45" s="373"/>
      <c r="R45" s="373"/>
      <c r="S45" s="373"/>
      <c r="T45" s="373"/>
      <c r="U45" s="373"/>
      <c r="V45" s="49" t="s">
        <v>0</v>
      </c>
      <c r="W45" s="39">
        <v>91999910</v>
      </c>
      <c r="X45" s="80" t="s">
        <v>852</v>
      </c>
      <c r="Y45" s="80" t="s">
        <v>852</v>
      </c>
      <c r="Z45" s="60">
        <v>3602</v>
      </c>
      <c r="AA45" s="326">
        <v>4000000</v>
      </c>
      <c r="AB45" s="80"/>
      <c r="AC45" s="11"/>
    </row>
    <row r="46" spans="1:29">
      <c r="A46" s="436" t="s">
        <v>846</v>
      </c>
      <c r="B46" s="325">
        <f>B98</f>
        <v>0</v>
      </c>
      <c r="C46" s="326">
        <f>C98</f>
        <v>0</v>
      </c>
      <c r="D46" s="326">
        <f t="shared" ref="D46:O46" si="10">D98</f>
        <v>0</v>
      </c>
      <c r="E46" s="326">
        <f t="shared" si="10"/>
        <v>994970</v>
      </c>
      <c r="F46" s="326">
        <f t="shared" si="10"/>
        <v>1185753</v>
      </c>
      <c r="G46" s="326">
        <f t="shared" si="10"/>
        <v>1380750</v>
      </c>
      <c r="H46" s="326">
        <f t="shared" si="10"/>
        <v>14391791</v>
      </c>
      <c r="I46" s="326">
        <f t="shared" si="10"/>
        <v>12530700</v>
      </c>
      <c r="J46" s="326">
        <f t="shared" si="10"/>
        <v>3743800</v>
      </c>
      <c r="K46" s="326">
        <f t="shared" si="10"/>
        <v>70000</v>
      </c>
      <c r="L46" s="326">
        <f t="shared" si="10"/>
        <v>17406900</v>
      </c>
      <c r="M46" s="326">
        <f t="shared" si="10"/>
        <v>0</v>
      </c>
      <c r="N46" s="326">
        <f t="shared" si="10"/>
        <v>0</v>
      </c>
      <c r="O46" s="326">
        <f t="shared" si="10"/>
        <v>400000</v>
      </c>
      <c r="P46" s="338">
        <f t="shared" si="9"/>
        <v>52104664</v>
      </c>
      <c r="Q46" s="373"/>
      <c r="R46" s="373"/>
      <c r="S46" s="373"/>
      <c r="T46" s="373"/>
      <c r="U46" s="373"/>
      <c r="V46" s="49" t="s">
        <v>0</v>
      </c>
      <c r="W46" s="39">
        <v>91999901</v>
      </c>
      <c r="X46" s="80" t="s">
        <v>852</v>
      </c>
      <c r="Y46" s="80" t="s">
        <v>852</v>
      </c>
      <c r="Z46" s="60" t="s">
        <v>853</v>
      </c>
      <c r="AA46" s="326">
        <v>5000000</v>
      </c>
      <c r="AB46" s="80"/>
      <c r="AC46" s="11"/>
    </row>
    <row r="47" spans="1:29">
      <c r="A47" s="405" t="s">
        <v>1135</v>
      </c>
      <c r="B47" s="326">
        <f>'UAT3-Mar'!B66</f>
        <v>0</v>
      </c>
      <c r="C47" s="326">
        <f>'UAT3-Mar'!C66</f>
        <v>0</v>
      </c>
      <c r="D47" s="326">
        <f>'UAT3-Mar'!D66</f>
        <v>0</v>
      </c>
      <c r="E47" s="326">
        <f>'UAT3-Mar'!E66</f>
        <v>0</v>
      </c>
      <c r="F47" s="326">
        <f>'UAT3-Mar'!F66</f>
        <v>0</v>
      </c>
      <c r="G47" s="326">
        <f>'UAT3-Mar'!G66</f>
        <v>0</v>
      </c>
      <c r="H47" s="326">
        <f>'UAT3-Mar'!H66</f>
        <v>0</v>
      </c>
      <c r="I47" s="326">
        <f>'UAT3-Mar'!I66</f>
        <v>0</v>
      </c>
      <c r="J47" s="326">
        <f>'UAT3-Mar'!J66</f>
        <v>0</v>
      </c>
      <c r="K47" s="326">
        <f>'UAT3-Mar'!K66</f>
        <v>0</v>
      </c>
      <c r="L47" s="326">
        <f>'UAT3-Mar'!L66</f>
        <v>0</v>
      </c>
      <c r="M47" s="326">
        <f>'UAT3-Mar'!M66</f>
        <v>0</v>
      </c>
      <c r="N47" s="326">
        <f>'UAT3-Mar'!N66</f>
        <v>0</v>
      </c>
      <c r="O47" s="326">
        <f>'UAT3-Mar'!O66</f>
        <v>400000</v>
      </c>
      <c r="P47" s="338">
        <f t="shared" si="9"/>
        <v>400000</v>
      </c>
      <c r="Q47" s="373"/>
      <c r="R47" s="373"/>
      <c r="S47" s="373"/>
      <c r="T47" s="373"/>
      <c r="U47" s="373"/>
      <c r="V47" s="496" t="s">
        <v>0</v>
      </c>
      <c r="W47" s="500">
        <v>91999904</v>
      </c>
      <c r="X47" s="615" t="s">
        <v>602</v>
      </c>
      <c r="Y47" s="615" t="s">
        <v>602</v>
      </c>
      <c r="Z47" s="616" t="s">
        <v>853</v>
      </c>
      <c r="AA47" s="431">
        <v>5000000</v>
      </c>
      <c r="AB47" s="615"/>
      <c r="AC47" s="619"/>
    </row>
    <row r="48" spans="1:29">
      <c r="A48" s="436" t="s">
        <v>512</v>
      </c>
      <c r="B48" s="326">
        <f>B84-B62</f>
        <v>0</v>
      </c>
      <c r="C48" s="326">
        <f t="shared" ref="C48:O48" si="11">C84-C62</f>
        <v>0</v>
      </c>
      <c r="D48" s="326">
        <f t="shared" si="11"/>
        <v>0</v>
      </c>
      <c r="E48" s="326">
        <f t="shared" si="11"/>
        <v>0</v>
      </c>
      <c r="F48" s="326">
        <f t="shared" si="11"/>
        <v>0</v>
      </c>
      <c r="G48" s="326">
        <f t="shared" si="11"/>
        <v>0</v>
      </c>
      <c r="H48" s="326">
        <f t="shared" si="11"/>
        <v>328767</v>
      </c>
      <c r="I48" s="326">
        <f t="shared" si="11"/>
        <v>0</v>
      </c>
      <c r="J48" s="326">
        <f t="shared" si="11"/>
        <v>0</v>
      </c>
      <c r="K48" s="326">
        <f t="shared" si="11"/>
        <v>0</v>
      </c>
      <c r="L48" s="326">
        <f t="shared" si="11"/>
        <v>0</v>
      </c>
      <c r="M48" s="326">
        <f t="shared" si="11"/>
        <v>0</v>
      </c>
      <c r="N48" s="326">
        <f t="shared" si="11"/>
        <v>0</v>
      </c>
      <c r="O48" s="326">
        <f t="shared" si="11"/>
        <v>0</v>
      </c>
      <c r="P48" s="338">
        <f t="shared" si="9"/>
        <v>328767</v>
      </c>
      <c r="Q48" s="373"/>
      <c r="R48" s="373"/>
      <c r="S48" s="373"/>
      <c r="T48" s="373"/>
      <c r="U48" s="373"/>
      <c r="V48" s="49" t="s">
        <v>0</v>
      </c>
      <c r="W48" s="39">
        <v>91999908</v>
      </c>
      <c r="X48" s="80" t="s">
        <v>852</v>
      </c>
      <c r="Y48" s="80" t="s">
        <v>852</v>
      </c>
      <c r="Z48" s="60" t="s">
        <v>853</v>
      </c>
      <c r="AA48" s="326">
        <v>5000000</v>
      </c>
      <c r="AB48" s="80"/>
      <c r="AC48" s="11"/>
    </row>
    <row r="49" spans="1:29">
      <c r="A49" s="436" t="s">
        <v>533</v>
      </c>
      <c r="B49" s="326"/>
      <c r="C49" s="326">
        <f>IF(OR(C18="A",C18="B"),ROUND(2369796*C19*C16/365,0),ROUND(2466.55*$B$4*C19*C16/365,0))-C37</f>
        <v>38956</v>
      </c>
      <c r="D49" s="326"/>
      <c r="E49" s="326">
        <f>IF(OR(E18="A",E18="B"),ROUND(2369796*E19*E16/365,0),ROUND(2466.55*$B$4*E19*E16/365,0))-E37</f>
        <v>292166</v>
      </c>
      <c r="F49" s="326"/>
      <c r="G49" s="326"/>
      <c r="H49" s="326">
        <f>ROUND((ROUND(2466.55*$B$4/365*H16,0)+ROUND(863.29*$B$4/365*H16,0)),0)-H37</f>
        <v>3175436</v>
      </c>
      <c r="I49" s="326">
        <f t="shared" ref="I49:O49" si="12">I37</f>
        <v>0</v>
      </c>
      <c r="J49" s="326">
        <f t="shared" si="12"/>
        <v>0</v>
      </c>
      <c r="K49" s="326">
        <f t="shared" si="12"/>
        <v>0</v>
      </c>
      <c r="L49" s="326">
        <f t="shared" si="12"/>
        <v>0</v>
      </c>
      <c r="M49" s="326">
        <f t="shared" si="12"/>
        <v>0</v>
      </c>
      <c r="N49" s="326">
        <f t="shared" si="12"/>
        <v>0</v>
      </c>
      <c r="O49" s="326">
        <f t="shared" si="12"/>
        <v>0</v>
      </c>
      <c r="P49" s="338">
        <f t="shared" si="9"/>
        <v>3506558</v>
      </c>
      <c r="Q49" s="373"/>
      <c r="R49" s="373"/>
      <c r="S49" s="373"/>
      <c r="T49" s="373"/>
      <c r="U49" s="373"/>
      <c r="V49" s="49" t="s">
        <v>0</v>
      </c>
      <c r="W49" s="39">
        <v>91999910</v>
      </c>
      <c r="X49" s="80" t="s">
        <v>852</v>
      </c>
      <c r="Y49" s="80" t="s">
        <v>852</v>
      </c>
      <c r="Z49" s="60" t="s">
        <v>853</v>
      </c>
      <c r="AA49" s="326">
        <v>5000000</v>
      </c>
      <c r="AB49" s="80"/>
      <c r="AC49" s="11"/>
    </row>
    <row r="50" spans="1:29">
      <c r="A50" s="436" t="s">
        <v>536</v>
      </c>
      <c r="B50" s="326"/>
      <c r="C50" s="326"/>
      <c r="D50" s="326"/>
      <c r="E50" s="326"/>
      <c r="F50" s="326"/>
      <c r="G50" s="326"/>
      <c r="H50" s="326">
        <f>H85</f>
        <v>575342</v>
      </c>
      <c r="I50" s="326"/>
      <c r="J50" s="326"/>
      <c r="K50" s="326"/>
      <c r="L50" s="326"/>
      <c r="M50" s="326"/>
      <c r="N50" s="326"/>
      <c r="O50" s="326"/>
      <c r="P50" s="338">
        <f t="shared" si="9"/>
        <v>575342</v>
      </c>
      <c r="Q50" s="373"/>
      <c r="R50" s="373"/>
      <c r="S50" s="341"/>
      <c r="T50" s="341"/>
      <c r="U50" s="341"/>
      <c r="V50" s="49" t="s">
        <v>0</v>
      </c>
      <c r="W50" s="39">
        <v>91999901</v>
      </c>
      <c r="X50" s="80" t="s">
        <v>852</v>
      </c>
      <c r="Y50" s="80" t="s">
        <v>852</v>
      </c>
      <c r="Z50" s="60" t="s">
        <v>854</v>
      </c>
      <c r="AA50" s="326">
        <v>6000000</v>
      </c>
      <c r="AB50" s="80"/>
      <c r="AC50" s="11"/>
    </row>
    <row r="51" spans="1:29">
      <c r="A51" s="436" t="s">
        <v>537</v>
      </c>
      <c r="B51" s="326"/>
      <c r="C51" s="326"/>
      <c r="D51" s="326"/>
      <c r="E51" s="326"/>
      <c r="F51" s="326"/>
      <c r="G51" s="326"/>
      <c r="H51" s="326">
        <f>ROUND((ROUND(297.1*$B$4,0)+ROUND(103.98*$B$4,0))*H16/365,0)</f>
        <v>764964</v>
      </c>
      <c r="I51" s="326"/>
      <c r="J51" s="326"/>
      <c r="K51" s="326"/>
      <c r="L51" s="326"/>
      <c r="M51" s="326"/>
      <c r="N51" s="326"/>
      <c r="O51" s="326"/>
      <c r="P51" s="339">
        <f>SUM(B51:O51)</f>
        <v>764964</v>
      </c>
      <c r="Q51" s="341"/>
      <c r="R51" s="341"/>
      <c r="S51" s="341"/>
      <c r="T51" s="341"/>
      <c r="U51" s="341"/>
      <c r="V51" s="496" t="s">
        <v>0</v>
      </c>
      <c r="W51" s="500">
        <v>91999904</v>
      </c>
      <c r="X51" s="615" t="s">
        <v>602</v>
      </c>
      <c r="Y51" s="615" t="s">
        <v>602</v>
      </c>
      <c r="Z51" s="616" t="s">
        <v>854</v>
      </c>
      <c r="AA51" s="431">
        <v>6000000</v>
      </c>
      <c r="AB51" s="615"/>
      <c r="AC51" s="619"/>
    </row>
    <row r="52" spans="1:29">
      <c r="A52" s="405"/>
      <c r="B52" s="365"/>
      <c r="C52" s="366"/>
      <c r="D52" s="366"/>
      <c r="E52" s="367"/>
      <c r="F52" s="366"/>
      <c r="G52" s="366"/>
      <c r="H52" s="366"/>
      <c r="I52" s="366"/>
      <c r="J52" s="366"/>
      <c r="K52" s="367"/>
      <c r="L52" s="367"/>
      <c r="M52" s="367"/>
      <c r="N52" s="367"/>
      <c r="O52" s="367"/>
      <c r="P52" s="338"/>
      <c r="Q52" s="373"/>
      <c r="R52" s="373"/>
      <c r="S52" s="373"/>
      <c r="T52" s="373"/>
      <c r="U52" s="373"/>
      <c r="V52" s="49" t="s">
        <v>0</v>
      </c>
      <c r="W52" s="39">
        <v>91999908</v>
      </c>
      <c r="X52" s="80" t="s">
        <v>852</v>
      </c>
      <c r="Y52" s="80" t="s">
        <v>852</v>
      </c>
      <c r="Z52" s="60" t="s">
        <v>854</v>
      </c>
      <c r="AA52" s="326">
        <v>6000000</v>
      </c>
      <c r="AB52" s="80"/>
      <c r="AC52" s="11"/>
    </row>
    <row r="53" spans="1:29">
      <c r="A53" s="413" t="s">
        <v>4</v>
      </c>
      <c r="B53" s="359">
        <f t="shared" ref="B53:O53" si="13">SUM(B43:B52)</f>
        <v>682500</v>
      </c>
      <c r="C53" s="360">
        <f t="shared" si="13"/>
        <v>591781</v>
      </c>
      <c r="D53" s="360">
        <f t="shared" si="13"/>
        <v>227500</v>
      </c>
      <c r="E53" s="360">
        <f t="shared" si="13"/>
        <v>2232136</v>
      </c>
      <c r="F53" s="360">
        <f t="shared" si="13"/>
        <v>1185753</v>
      </c>
      <c r="G53" s="360">
        <f t="shared" si="13"/>
        <v>1380750</v>
      </c>
      <c r="H53" s="360">
        <f t="shared" si="13"/>
        <v>19653300</v>
      </c>
      <c r="I53" s="360">
        <f t="shared" si="13"/>
        <v>12947700</v>
      </c>
      <c r="J53" s="360">
        <f t="shared" si="13"/>
        <v>6774800</v>
      </c>
      <c r="K53" s="360">
        <f t="shared" si="13"/>
        <v>70000</v>
      </c>
      <c r="L53" s="360">
        <f t="shared" si="13"/>
        <v>20883900</v>
      </c>
      <c r="M53" s="360">
        <f t="shared" si="13"/>
        <v>0</v>
      </c>
      <c r="N53" s="480">
        <f t="shared" si="13"/>
        <v>0</v>
      </c>
      <c r="O53" s="655">
        <f t="shared" si="13"/>
        <v>800000</v>
      </c>
      <c r="P53" s="338">
        <f>SUM(B53:O53)</f>
        <v>67430120</v>
      </c>
      <c r="Q53" s="373"/>
      <c r="R53" s="373"/>
      <c r="S53" s="373"/>
      <c r="T53" s="373"/>
      <c r="U53" s="373"/>
      <c r="V53" s="49" t="s">
        <v>0</v>
      </c>
      <c r="W53" s="39">
        <v>91999910</v>
      </c>
      <c r="X53" s="80" t="s">
        <v>852</v>
      </c>
      <c r="Y53" s="80" t="s">
        <v>852</v>
      </c>
      <c r="Z53" s="60" t="s">
        <v>854</v>
      </c>
      <c r="AA53" s="326">
        <v>6000000</v>
      </c>
      <c r="AB53" s="80"/>
      <c r="AC53" s="11"/>
    </row>
    <row r="54" spans="1:29">
      <c r="A54" s="414"/>
      <c r="B54" s="325"/>
      <c r="C54" s="326"/>
      <c r="D54" s="326"/>
      <c r="E54" s="334"/>
      <c r="F54" s="326"/>
      <c r="G54" s="326"/>
      <c r="H54" s="326"/>
      <c r="I54" s="326"/>
      <c r="J54" s="326"/>
      <c r="K54" s="334"/>
      <c r="L54" s="334"/>
      <c r="M54" s="334"/>
      <c r="N54" s="334"/>
      <c r="O54" s="334"/>
      <c r="P54" s="338"/>
      <c r="Q54" s="373"/>
      <c r="R54" s="373"/>
      <c r="S54" s="373"/>
      <c r="T54" s="373"/>
      <c r="U54" s="373"/>
      <c r="V54" s="49" t="s">
        <v>0</v>
      </c>
      <c r="W54" s="39">
        <v>91999901</v>
      </c>
      <c r="X54" s="80" t="s">
        <v>852</v>
      </c>
      <c r="Y54" s="80" t="s">
        <v>852</v>
      </c>
      <c r="Z54" s="60" t="s">
        <v>855</v>
      </c>
      <c r="AA54" s="326">
        <v>7000000</v>
      </c>
      <c r="AB54" s="80"/>
      <c r="AC54" s="11"/>
    </row>
    <row r="55" spans="1:29" ht="14.4" thickBot="1">
      <c r="A55" s="410" t="s">
        <v>5</v>
      </c>
      <c r="B55" s="327">
        <f t="shared" ref="B55:O55" si="14">B39-B53</f>
        <v>5817500</v>
      </c>
      <c r="C55" s="328">
        <f t="shared" si="14"/>
        <v>4673219</v>
      </c>
      <c r="D55" s="328">
        <f t="shared" si="14"/>
        <v>8872500</v>
      </c>
      <c r="E55" s="328">
        <f t="shared" si="14"/>
        <v>6767864</v>
      </c>
      <c r="F55" s="328">
        <f t="shared" si="14"/>
        <v>10014247</v>
      </c>
      <c r="G55" s="328">
        <f t="shared" si="14"/>
        <v>21824250</v>
      </c>
      <c r="H55" s="328">
        <f t="shared" si="14"/>
        <v>48801450</v>
      </c>
      <c r="I55" s="328">
        <f t="shared" si="14"/>
        <v>49705800</v>
      </c>
      <c r="J55" s="328">
        <f t="shared" si="14"/>
        <v>32225200</v>
      </c>
      <c r="K55" s="328">
        <f t="shared" si="14"/>
        <v>10330000</v>
      </c>
      <c r="L55" s="328">
        <f t="shared" si="14"/>
        <v>69116100</v>
      </c>
      <c r="M55" s="328">
        <f t="shared" si="14"/>
        <v>7500000</v>
      </c>
      <c r="N55" s="328">
        <f t="shared" si="14"/>
        <v>9000000</v>
      </c>
      <c r="O55" s="328">
        <f t="shared" si="14"/>
        <v>3200000</v>
      </c>
      <c r="P55" s="338">
        <f>SUM(B55:O55)</f>
        <v>287848130</v>
      </c>
      <c r="Q55" s="373"/>
      <c r="R55" s="373"/>
      <c r="S55" s="373"/>
      <c r="T55" s="373"/>
      <c r="U55" s="373"/>
      <c r="V55" s="496" t="s">
        <v>0</v>
      </c>
      <c r="W55" s="500">
        <v>91999904</v>
      </c>
      <c r="X55" s="615" t="s">
        <v>602</v>
      </c>
      <c r="Y55" s="615" t="s">
        <v>602</v>
      </c>
      <c r="Z55" s="616" t="s">
        <v>855</v>
      </c>
      <c r="AA55" s="431">
        <v>7000000</v>
      </c>
      <c r="AB55" s="615"/>
      <c r="AC55" s="619"/>
    </row>
    <row r="56" spans="1:29" ht="14.4" thickTop="1">
      <c r="A56" s="415"/>
      <c r="B56" s="325"/>
      <c r="C56" s="326"/>
      <c r="D56" s="326"/>
      <c r="E56" s="334"/>
      <c r="F56" s="326"/>
      <c r="G56" s="326"/>
      <c r="H56" s="326"/>
      <c r="I56" s="326"/>
      <c r="J56" s="326"/>
      <c r="K56" s="334"/>
      <c r="L56" s="334"/>
      <c r="M56" s="334"/>
      <c r="N56" s="334"/>
      <c r="O56" s="395"/>
      <c r="P56" s="349"/>
      <c r="Q56" s="373"/>
      <c r="R56" s="373"/>
      <c r="S56" s="373"/>
      <c r="T56" s="373"/>
      <c r="U56" s="373"/>
      <c r="V56" s="49" t="s">
        <v>0</v>
      </c>
      <c r="W56" s="39">
        <v>91999908</v>
      </c>
      <c r="X56" s="80" t="s">
        <v>852</v>
      </c>
      <c r="Y56" s="80" t="s">
        <v>852</v>
      </c>
      <c r="Z56" s="60" t="s">
        <v>855</v>
      </c>
      <c r="AA56" s="326">
        <v>7000000</v>
      </c>
      <c r="AB56" s="80"/>
      <c r="AC56" s="11"/>
    </row>
    <row r="57" spans="1:29" ht="15.6">
      <c r="A57" s="404" t="s">
        <v>62</v>
      </c>
      <c r="B57" s="368"/>
      <c r="C57" s="399"/>
      <c r="D57" s="399"/>
      <c r="E57" s="364"/>
      <c r="F57" s="399"/>
      <c r="G57" s="399"/>
      <c r="H57" s="400"/>
      <c r="I57" s="399"/>
      <c r="J57" s="399"/>
      <c r="K57" s="364"/>
      <c r="L57" s="364"/>
      <c r="M57" s="364"/>
      <c r="N57" s="364"/>
      <c r="O57" s="377"/>
      <c r="P57" s="377"/>
      <c r="Q57" s="373"/>
      <c r="R57" s="373"/>
      <c r="S57" s="373"/>
      <c r="T57" s="373"/>
      <c r="U57" s="373"/>
      <c r="V57" s="49" t="s">
        <v>0</v>
      </c>
      <c r="W57" s="39">
        <v>91999910</v>
      </c>
      <c r="X57" s="80" t="s">
        <v>852</v>
      </c>
      <c r="Y57" s="80" t="s">
        <v>852</v>
      </c>
      <c r="Z57" s="60" t="s">
        <v>855</v>
      </c>
      <c r="AA57" s="326">
        <v>7000000</v>
      </c>
      <c r="AB57" s="80"/>
      <c r="AC57" s="11"/>
    </row>
    <row r="58" spans="1:29">
      <c r="A58" s="417" t="s">
        <v>570</v>
      </c>
      <c r="B58" s="326">
        <f>ROUND(B91*'New Hire'!C55,0)</f>
        <v>1105000</v>
      </c>
      <c r="C58" s="326">
        <f>ROUND(C91*'New Hire'!D55,0)</f>
        <v>921375</v>
      </c>
      <c r="D58" s="326">
        <f>ROUND(D91*'New Hire'!E55,0)</f>
        <v>45500</v>
      </c>
      <c r="E58" s="326">
        <f>ROUND(E91*'New Hire'!F55,0)</f>
        <v>1530000</v>
      </c>
      <c r="F58" s="326">
        <f>ROUND(F91*'New Hire'!G55,0)</f>
        <v>0</v>
      </c>
      <c r="G58" s="326">
        <f>ROUND(G91*'New Hire'!H55,0)</f>
        <v>0</v>
      </c>
      <c r="H58" s="326">
        <f>ROUND(H91*'New Hire'!I55,0)</f>
        <v>834000</v>
      </c>
      <c r="I58" s="326">
        <f>ROUND(I91*'New Hire'!J55,0)</f>
        <v>139000</v>
      </c>
      <c r="J58" s="326">
        <f>ROUND(J91*'New Hire'!K55,0)</f>
        <v>4726000</v>
      </c>
      <c r="K58" s="326">
        <f>ROUND(K91*'New Hire'!L55,0)</f>
        <v>0</v>
      </c>
      <c r="L58" s="326">
        <f>ROUND(L91*'New Hire'!M55,0)</f>
        <v>4726000</v>
      </c>
      <c r="M58" s="326">
        <f>ROUND(M91*'New Hire'!N55,0)</f>
        <v>0</v>
      </c>
      <c r="N58" s="326">
        <f>ROUND(N91*'New Hire'!O55,0)</f>
        <v>0</v>
      </c>
      <c r="O58" s="326">
        <f>ROUND(O91*'New Hire'!P55,0)</f>
        <v>0</v>
      </c>
      <c r="P58" s="339">
        <f t="shared" ref="P58:P63" si="15">SUM(B58:O58)</f>
        <v>14026875</v>
      </c>
      <c r="Q58" s="373"/>
      <c r="R58" s="373"/>
      <c r="S58" s="373"/>
      <c r="T58" s="373"/>
      <c r="U58" s="373"/>
      <c r="V58" s="49" t="s">
        <v>0</v>
      </c>
      <c r="W58" s="39">
        <v>91999901</v>
      </c>
      <c r="X58" s="80" t="s">
        <v>852</v>
      </c>
      <c r="Y58" s="80" t="s">
        <v>852</v>
      </c>
      <c r="Z58" s="60" t="s">
        <v>856</v>
      </c>
      <c r="AA58" s="326">
        <v>8000000</v>
      </c>
      <c r="AB58" s="80"/>
      <c r="AC58" s="11"/>
    </row>
    <row r="59" spans="1:29">
      <c r="A59" s="436" t="s">
        <v>571</v>
      </c>
      <c r="B59" s="326">
        <f>ROUND(MIN(B92,83600000)*'New Hire'!C58,0)</f>
        <v>65000</v>
      </c>
      <c r="C59" s="326">
        <f>ROUND(MIN(C92,83600000)*'New Hire'!D58,0)</f>
        <v>52650</v>
      </c>
      <c r="D59" s="326">
        <f>ROUND(MIN(D92,83600000)*'New Hire'!E58,0)</f>
        <v>91000</v>
      </c>
      <c r="E59" s="326">
        <f>ROUND(MIN(E92,83600000)*'New Hire'!F58,0)</f>
        <v>90000</v>
      </c>
      <c r="F59" s="326">
        <f>ROUND(MIN(F92,83600000)*'New Hire'!G58,0)</f>
        <v>0</v>
      </c>
      <c r="G59" s="326">
        <f>ROUND(MIN(G92,83600000)*'New Hire'!H58,0)</f>
        <v>0</v>
      </c>
      <c r="H59" s="326">
        <f>ROUND(MIN(H92,83600000)*'New Hire'!I58,0)</f>
        <v>0</v>
      </c>
      <c r="I59" s="326">
        <f>ROUND(MIN(I92,83600000)*'New Hire'!J58,0)</f>
        <v>0</v>
      </c>
      <c r="J59" s="326">
        <f>ROUND(MIN(J92,83600000)*'New Hire'!K58,0)</f>
        <v>390000</v>
      </c>
      <c r="K59" s="326">
        <f>ROUND(MIN(K92,83600000)*'New Hire'!L58,0)</f>
        <v>0</v>
      </c>
      <c r="L59" s="326">
        <f>ROUND(MIN(L92,83600000)*'New Hire'!M58,0)</f>
        <v>836000</v>
      </c>
      <c r="M59" s="326">
        <f>ROUND(MIN(M92,83600000)*'New Hire'!N58,0)</f>
        <v>0</v>
      </c>
      <c r="N59" s="326">
        <f>ROUND(MIN(N92,83600000)*'New Hire'!O58,0)</f>
        <v>0</v>
      </c>
      <c r="O59" s="326">
        <f>ROUND(MIN(O92,83600000)*'New Hire'!P58,0)</f>
        <v>0</v>
      </c>
      <c r="P59" s="339">
        <f t="shared" si="15"/>
        <v>1524650</v>
      </c>
      <c r="Q59" s="373"/>
      <c r="R59" s="373"/>
      <c r="S59" s="373"/>
      <c r="T59" s="373"/>
      <c r="U59" s="373"/>
      <c r="V59" s="496" t="s">
        <v>0</v>
      </c>
      <c r="W59" s="500">
        <v>91999904</v>
      </c>
      <c r="X59" s="615" t="s">
        <v>602</v>
      </c>
      <c r="Y59" s="615" t="s">
        <v>602</v>
      </c>
      <c r="Z59" s="616" t="s">
        <v>856</v>
      </c>
      <c r="AA59" s="431">
        <v>8000000</v>
      </c>
      <c r="AB59" s="615"/>
      <c r="AC59" s="619"/>
    </row>
    <row r="60" spans="1:29">
      <c r="A60" s="436" t="s">
        <v>572</v>
      </c>
      <c r="B60" s="326">
        <f>ROUND(B91*'New Hire'!C61,0)</f>
        <v>195000</v>
      </c>
      <c r="C60" s="326">
        <f>ROUND(C91*'New Hire'!D61,0)</f>
        <v>157950</v>
      </c>
      <c r="D60" s="326">
        <f>ROUND(D91*'New Hire'!E61,0)</f>
        <v>273000</v>
      </c>
      <c r="E60" s="326">
        <f>ROUND(E91*'New Hire'!F61,0)</f>
        <v>270000</v>
      </c>
      <c r="F60" s="326">
        <f>ROUND(F91*'New Hire'!G61,0)</f>
        <v>0</v>
      </c>
      <c r="G60" s="326">
        <f>ROUND(G91*'New Hire'!H61,0)</f>
        <v>0</v>
      </c>
      <c r="H60" s="326">
        <f>ROUND(H91*'New Hire'!I61,0)</f>
        <v>834000</v>
      </c>
      <c r="I60" s="326">
        <f>ROUND(I91*'New Hire'!J61,0)</f>
        <v>834000</v>
      </c>
      <c r="J60" s="326">
        <f>ROUND(J91*'New Hire'!K61,0)</f>
        <v>834000</v>
      </c>
      <c r="K60" s="326">
        <f>ROUND(K91*'New Hire'!L61,0)</f>
        <v>0</v>
      </c>
      <c r="L60" s="326">
        <f>ROUND(L91*'New Hire'!M61,0)</f>
        <v>834000</v>
      </c>
      <c r="M60" s="326">
        <f>ROUND(M91*'New Hire'!N61,0)</f>
        <v>0</v>
      </c>
      <c r="N60" s="326">
        <f>ROUND(N91*'New Hire'!O61,0)</f>
        <v>0</v>
      </c>
      <c r="O60" s="326">
        <f>ROUND(O91*'New Hire'!P61,0)</f>
        <v>0</v>
      </c>
      <c r="P60" s="339">
        <f t="shared" si="15"/>
        <v>4231950</v>
      </c>
      <c r="Q60" s="341"/>
      <c r="R60" s="341"/>
      <c r="S60" s="341"/>
      <c r="T60" s="341"/>
      <c r="U60" s="341"/>
      <c r="V60" s="49" t="s">
        <v>0</v>
      </c>
      <c r="W60" s="39">
        <v>91999908</v>
      </c>
      <c r="X60" s="80" t="s">
        <v>852</v>
      </c>
      <c r="Y60" s="80" t="s">
        <v>852</v>
      </c>
      <c r="Z60" s="60" t="s">
        <v>856</v>
      </c>
      <c r="AA60" s="326">
        <v>8000000</v>
      </c>
      <c r="AB60" s="80"/>
      <c r="AC60" s="11"/>
    </row>
    <row r="61" spans="1:29">
      <c r="A61" s="405" t="s">
        <v>1071</v>
      </c>
      <c r="B61" s="326">
        <f>IF(B43+B58=0,0,ROUND(MIN(B91,29800000)*2%,0))</f>
        <v>130000</v>
      </c>
      <c r="C61" s="326">
        <f t="shared" ref="C61:O61" si="16">IF(C43+C58=0,0,ROUND(MIN(C91,29800000)*2%,0))</f>
        <v>105300</v>
      </c>
      <c r="D61" s="326">
        <f t="shared" si="16"/>
        <v>182000</v>
      </c>
      <c r="E61" s="326">
        <f t="shared" si="16"/>
        <v>180000</v>
      </c>
      <c r="F61" s="326">
        <f t="shared" si="16"/>
        <v>0</v>
      </c>
      <c r="G61" s="326">
        <f t="shared" si="16"/>
        <v>0</v>
      </c>
      <c r="H61" s="326">
        <f t="shared" si="16"/>
        <v>556000</v>
      </c>
      <c r="I61" s="326">
        <f t="shared" si="16"/>
        <v>556000</v>
      </c>
      <c r="J61" s="326">
        <f t="shared" si="16"/>
        <v>556000</v>
      </c>
      <c r="K61" s="326">
        <f t="shared" si="16"/>
        <v>0</v>
      </c>
      <c r="L61" s="326">
        <f t="shared" si="16"/>
        <v>556000</v>
      </c>
      <c r="M61" s="326">
        <f t="shared" si="16"/>
        <v>0</v>
      </c>
      <c r="N61" s="326">
        <f t="shared" si="16"/>
        <v>0</v>
      </c>
      <c r="O61" s="326">
        <f t="shared" si="16"/>
        <v>0</v>
      </c>
      <c r="P61" s="339">
        <f t="shared" si="15"/>
        <v>2821300</v>
      </c>
      <c r="Q61" s="373"/>
      <c r="R61" s="373"/>
      <c r="S61" s="373"/>
      <c r="T61" s="373"/>
      <c r="U61" s="373"/>
      <c r="V61" s="49" t="s">
        <v>0</v>
      </c>
      <c r="W61" s="39">
        <v>91999910</v>
      </c>
      <c r="X61" s="80" t="s">
        <v>852</v>
      </c>
      <c r="Y61" s="80" t="s">
        <v>852</v>
      </c>
      <c r="Z61" s="60" t="s">
        <v>856</v>
      </c>
      <c r="AA61" s="326">
        <v>8000000</v>
      </c>
      <c r="AB61" s="80"/>
      <c r="AC61" s="11"/>
    </row>
    <row r="62" spans="1:29">
      <c r="A62" s="436" t="s">
        <v>510</v>
      </c>
      <c r="B62" s="326">
        <f t="shared" ref="B62:H62" si="17">IF(OR(B18="A",B18="B"),B84,ROUND(B84*B13,0))</f>
        <v>657534</v>
      </c>
      <c r="C62" s="326">
        <f t="shared" si="17"/>
        <v>657534</v>
      </c>
      <c r="D62" s="326">
        <f t="shared" si="17"/>
        <v>0</v>
      </c>
      <c r="E62" s="326">
        <f t="shared" si="17"/>
        <v>657534</v>
      </c>
      <c r="F62" s="326">
        <f t="shared" si="17"/>
        <v>657534</v>
      </c>
      <c r="G62" s="326">
        <f t="shared" si="17"/>
        <v>0</v>
      </c>
      <c r="H62" s="326">
        <f t="shared" si="17"/>
        <v>328767</v>
      </c>
      <c r="I62" s="326"/>
      <c r="J62" s="326"/>
      <c r="K62" s="334"/>
      <c r="L62" s="334"/>
      <c r="M62" s="334"/>
      <c r="N62" s="334"/>
      <c r="O62" s="334"/>
      <c r="P62" s="339">
        <f t="shared" si="15"/>
        <v>2958903</v>
      </c>
      <c r="Q62" s="373"/>
      <c r="R62" s="373"/>
      <c r="S62" s="373"/>
      <c r="T62" s="373"/>
      <c r="U62" s="373"/>
      <c r="V62" s="32"/>
      <c r="W62" s="44"/>
      <c r="X62" s="13"/>
      <c r="Y62" s="13"/>
      <c r="Z62" s="13"/>
      <c r="AA62" s="356"/>
      <c r="AB62" s="13"/>
      <c r="AC62" s="18"/>
    </row>
    <row r="63" spans="1:29">
      <c r="A63" s="442" t="s">
        <v>836</v>
      </c>
      <c r="B63" s="326">
        <v>0</v>
      </c>
      <c r="C63" s="326"/>
      <c r="D63" s="326"/>
      <c r="E63" s="326">
        <v>0</v>
      </c>
      <c r="F63" s="326"/>
      <c r="G63" s="326"/>
      <c r="H63" s="326"/>
      <c r="I63" s="362">
        <f>AA36*B4</f>
        <v>3480750</v>
      </c>
      <c r="J63" s="362"/>
      <c r="K63" s="362">
        <f>AA37</f>
        <v>4000000</v>
      </c>
      <c r="L63" s="326"/>
      <c r="M63" s="326"/>
      <c r="N63" s="326"/>
      <c r="O63" s="326"/>
      <c r="P63" s="339">
        <f t="shared" si="15"/>
        <v>7480750</v>
      </c>
      <c r="Q63" s="373"/>
      <c r="R63" s="373"/>
      <c r="S63" s="373"/>
      <c r="T63" s="373"/>
      <c r="U63" s="373"/>
      <c r="V63" s="32"/>
      <c r="W63" s="44"/>
      <c r="X63" s="13"/>
      <c r="Y63" s="13"/>
      <c r="Z63" s="13"/>
      <c r="AA63" s="356"/>
      <c r="AB63" s="13"/>
      <c r="AC63" s="18"/>
    </row>
    <row r="64" spans="1:29">
      <c r="A64" s="405"/>
      <c r="B64" s="325"/>
      <c r="C64" s="326"/>
      <c r="D64" s="326"/>
      <c r="E64" s="334"/>
      <c r="F64" s="326"/>
      <c r="G64" s="326"/>
      <c r="H64" s="326"/>
      <c r="I64" s="326"/>
      <c r="J64" s="326"/>
      <c r="K64" s="334"/>
      <c r="L64" s="334"/>
      <c r="M64" s="334"/>
      <c r="N64" s="334"/>
      <c r="O64" s="334"/>
      <c r="P64" s="339"/>
      <c r="Q64" s="373"/>
      <c r="R64" s="373"/>
      <c r="S64" s="373"/>
      <c r="T64" s="373"/>
      <c r="U64" s="373"/>
      <c r="V64" s="42"/>
      <c r="W64" s="43"/>
      <c r="X64" s="13"/>
      <c r="Y64" s="13"/>
      <c r="Z64" s="61"/>
      <c r="AA64" s="356"/>
      <c r="AB64" s="13"/>
      <c r="AC64" s="18"/>
    </row>
    <row r="65" spans="1:29" ht="15.6">
      <c r="A65" s="404" t="s">
        <v>474</v>
      </c>
      <c r="B65" s="325"/>
      <c r="C65" s="326"/>
      <c r="D65" s="326"/>
      <c r="E65" s="334"/>
      <c r="F65" s="326"/>
      <c r="G65" s="326"/>
      <c r="H65" s="326"/>
      <c r="I65" s="326"/>
      <c r="J65" s="326"/>
      <c r="K65" s="334"/>
      <c r="L65" s="334"/>
      <c r="M65" s="334"/>
      <c r="N65" s="334"/>
      <c r="O65" s="395"/>
      <c r="P65" s="340"/>
      <c r="Q65" s="373"/>
      <c r="R65" s="373"/>
      <c r="S65" s="373"/>
      <c r="T65" s="373"/>
      <c r="U65" s="373"/>
      <c r="V65" s="24" t="s">
        <v>57</v>
      </c>
      <c r="W65" s="37" t="s">
        <v>67</v>
      </c>
      <c r="X65" s="37" t="s">
        <v>69</v>
      </c>
      <c r="Y65" s="37" t="s">
        <v>70</v>
      </c>
      <c r="Z65" s="62" t="s">
        <v>424</v>
      </c>
      <c r="AA65" s="357" t="s">
        <v>425</v>
      </c>
      <c r="AB65" s="37" t="s">
        <v>56</v>
      </c>
      <c r="AC65" s="38"/>
    </row>
    <row r="66" spans="1:29">
      <c r="A66" s="436" t="s">
        <v>475</v>
      </c>
      <c r="B66" s="326">
        <f>IF(AND(OR(B11="1",B11="P"),'New Hire'!C28="Local"),ROUND(B146*B82,0))+'UAT3-Mar'!B76</f>
        <v>1647510</v>
      </c>
      <c r="C66" s="326">
        <f>IF(AND(OR(C11="1",C11="P"),'New Hire'!D28="Local"),ROUND(C146*C82,0))+'UAT3-Mar'!C76</f>
        <v>1334483</v>
      </c>
      <c r="D66" s="326">
        <f>IF(AND(OR(D11="1",D11="P"),'New Hire'!E28="Local"),ROUND(D146*D82,0))+'UAT3-Mar'!D76</f>
        <v>0</v>
      </c>
      <c r="E66" s="326">
        <f>IF(AND(OR(E11="1",E11="P"),'New Hire'!F28="Local"),ROUND(E146*E82,0))+'UAT3-Mar'!E76</f>
        <v>0</v>
      </c>
      <c r="F66" s="326">
        <f>IF(AND(OR(F11="1",F11="P"),'New Hire'!G28="Local"),ROUND(F146*F82,0))+'UAT3-Mar'!F76</f>
        <v>0</v>
      </c>
      <c r="G66" s="326">
        <f>IF(AND(OR(G11="1",G11="P"),'New Hire'!H28="Local"),ROUND(G146*G82,0))+'UAT3-Mar'!G76</f>
        <v>0</v>
      </c>
      <c r="H66" s="326">
        <f>IF(AND(OR(H11="1",H11="P"),'New Hire'!I28="Local"),ROUND(H146*H82,0))+'UAT3-Mar'!H76</f>
        <v>0</v>
      </c>
      <c r="I66" s="326">
        <f>IF(AND(OR(I11="1",I11="P"),'New Hire'!J28="Local"),ROUND(I146*I82,0))+'UAT3-Mar'!I76</f>
        <v>0</v>
      </c>
      <c r="J66" s="326">
        <f>IF(AND(OR(J11="1",J11="P"),'New Hire'!K28="Local"),ROUND(J146*J82,0))+'UAT3-Mar'!J76</f>
        <v>7586210</v>
      </c>
      <c r="K66" s="326">
        <f>IF(AND(OR(K11="1",K11="P"),'New Hire'!L28="Local"),ROUND(K146*K82,0))+'UAT3-Mar'!K76</f>
        <v>2636016</v>
      </c>
      <c r="L66" s="326">
        <f>IF(AND(OR(L11="1",L11="P"),'New Hire'!M28="Local"),ROUND(L146*L82,0))+'UAT3-Mar'!L76</f>
        <v>29655179</v>
      </c>
      <c r="M66" s="326">
        <f>IF(AND(OR(M11="1",M11="P"),'New Hire'!N28="Local"),ROUND(M146*M82,0))+'UAT3-Mar'!M76</f>
        <v>0</v>
      </c>
      <c r="N66" s="326">
        <f>IF(AND(OR(N11="1",N11="P"),'New Hire'!O28="Local"),ROUND(N146*N82,0))+'UAT3-Mar'!N76</f>
        <v>0</v>
      </c>
      <c r="O66" s="326">
        <f>IF(AND(OR(O11="1",O11="P"),'New Hire'!P28="Local"),ROUND(O146*O82,0))+'UAT3-Mar'!O76</f>
        <v>0</v>
      </c>
      <c r="P66" s="339">
        <f>SUM(B66:O66)</f>
        <v>42859398</v>
      </c>
      <c r="Q66" s="373"/>
      <c r="R66" s="373"/>
      <c r="S66" s="373"/>
      <c r="T66" s="373"/>
      <c r="U66" s="373"/>
      <c r="V66" s="49" t="s">
        <v>423</v>
      </c>
      <c r="W66" s="347">
        <v>91999906</v>
      </c>
      <c r="X66" s="283" t="s">
        <v>685</v>
      </c>
      <c r="Y66" s="283" t="s">
        <v>685</v>
      </c>
      <c r="Z66" s="286">
        <v>0.375</v>
      </c>
      <c r="AA66" s="286">
        <v>0.47916666666666669</v>
      </c>
      <c r="AB66" s="284">
        <v>9180</v>
      </c>
      <c r="AC66" s="467">
        <v>2.5</v>
      </c>
    </row>
    <row r="67" spans="1:29">
      <c r="A67" s="436" t="s">
        <v>482</v>
      </c>
      <c r="B67" s="584"/>
      <c r="C67" s="584">
        <f>'UAT3-Mar'!C77</f>
        <v>2.5</v>
      </c>
      <c r="D67" s="584"/>
      <c r="E67" s="584"/>
      <c r="F67" s="584"/>
      <c r="G67" s="584"/>
      <c r="H67" s="584">
        <f>CEILING(ROUND(('UAT1-Jan'!AB70+'UAT1-Jan'!H14+'UAT2-Feb'!H14+'UAT3-Mar'!H14+H14)/261,2),0.5)</f>
        <v>5</v>
      </c>
      <c r="I67" s="584">
        <f>CEILING(ROUND(('UAT1-Jan'!I14+'UAT2-Feb'!I14+'UAT3-Mar'!I14+I14)/261,2),0.5)</f>
        <v>0.5</v>
      </c>
      <c r="J67" s="584"/>
      <c r="K67" s="584"/>
      <c r="L67" s="584"/>
      <c r="M67" s="584"/>
      <c r="N67" s="584">
        <f>'UAT3-Mar'!N77</f>
        <v>1.5</v>
      </c>
      <c r="O67" s="586"/>
      <c r="P67" s="585">
        <f>SUM(B67:O67)</f>
        <v>9.5</v>
      </c>
      <c r="Q67" s="373"/>
      <c r="R67" s="373"/>
      <c r="S67" s="373"/>
      <c r="T67" s="373"/>
      <c r="U67" s="373"/>
      <c r="V67" s="49" t="s">
        <v>422</v>
      </c>
      <c r="W67" s="347">
        <v>91999906</v>
      </c>
      <c r="X67" s="283" t="s">
        <v>686</v>
      </c>
      <c r="Y67" s="283" t="s">
        <v>686</v>
      </c>
      <c r="Z67" s="286">
        <v>0.375</v>
      </c>
      <c r="AA67" s="286">
        <v>0.47916666666666669</v>
      </c>
      <c r="AB67" s="284">
        <v>9180</v>
      </c>
      <c r="AC67" s="467">
        <v>2.5</v>
      </c>
    </row>
    <row r="68" spans="1:29">
      <c r="A68" s="436" t="s">
        <v>581</v>
      </c>
      <c r="B68" s="326">
        <f>B93+'UAT3-Mar'!B78</f>
        <v>33600000</v>
      </c>
      <c r="C68" s="326">
        <f>C93+'UAT3-Mar'!C78</f>
        <v>29214000</v>
      </c>
      <c r="D68" s="326">
        <f>D93+'UAT3-Mar'!D78</f>
        <v>42496957</v>
      </c>
      <c r="E68" s="326">
        <f>E93+'UAT3-Mar'!E78</f>
        <v>39600000</v>
      </c>
      <c r="F68" s="326">
        <f>F93+'UAT3-Mar'!F78</f>
        <v>47680000</v>
      </c>
      <c r="G68" s="326">
        <f>G93+'UAT3-Mar'!G78</f>
        <v>0</v>
      </c>
      <c r="H68" s="326">
        <f>H93+'UAT3-Mar'!H78</f>
        <v>281940750</v>
      </c>
      <c r="I68" s="326">
        <f>I93+'UAT3-Mar'!I78</f>
        <v>262274512</v>
      </c>
      <c r="J68" s="326">
        <f>J93+'UAT3-Mar'!J78</f>
        <v>156000000</v>
      </c>
      <c r="K68" s="326">
        <f>K93+'UAT3-Mar'!K78</f>
        <v>43060000</v>
      </c>
      <c r="L68" s="326">
        <f>L93+'UAT3-Mar'!L78</f>
        <v>360000000</v>
      </c>
      <c r="M68" s="326">
        <f>M93+'UAT3-Mar'!M78</f>
        <v>30000000</v>
      </c>
      <c r="N68" s="326">
        <f>N93+'UAT3-Mar'!N78</f>
        <v>36000000</v>
      </c>
      <c r="O68" s="326">
        <f>O93+'UAT3-Mar'!O78</f>
        <v>0</v>
      </c>
      <c r="P68" s="339">
        <f>SUM(B68:O68)</f>
        <v>1361866219</v>
      </c>
      <c r="Q68" s="373"/>
      <c r="R68" s="373"/>
      <c r="S68" s="373"/>
      <c r="T68" s="373"/>
      <c r="U68" s="373"/>
      <c r="V68" s="49" t="s">
        <v>422</v>
      </c>
      <c r="W68" s="347">
        <v>91999914</v>
      </c>
      <c r="X68" s="283" t="s">
        <v>687</v>
      </c>
      <c r="Y68" s="283" t="s">
        <v>687</v>
      </c>
      <c r="Z68" s="286">
        <v>0.375</v>
      </c>
      <c r="AA68" s="286">
        <v>0.47916666666666669</v>
      </c>
      <c r="AB68" s="284">
        <v>9180</v>
      </c>
      <c r="AC68" s="467">
        <v>2.5</v>
      </c>
    </row>
    <row r="69" spans="1:29">
      <c r="A69" s="405"/>
      <c r="B69" s="325"/>
      <c r="C69" s="326"/>
      <c r="D69" s="326"/>
      <c r="E69" s="334"/>
      <c r="F69" s="326"/>
      <c r="G69" s="326"/>
      <c r="H69" s="326"/>
      <c r="I69" s="326"/>
      <c r="J69" s="326"/>
      <c r="K69" s="334"/>
      <c r="L69" s="334"/>
      <c r="M69" s="334"/>
      <c r="N69" s="334"/>
      <c r="O69" s="334"/>
      <c r="P69" s="339"/>
      <c r="Q69" s="373"/>
      <c r="R69" s="373"/>
      <c r="S69" s="373"/>
      <c r="T69" s="373"/>
      <c r="U69" s="373"/>
      <c r="V69" s="49" t="s">
        <v>422</v>
      </c>
      <c r="W69" s="347">
        <v>91999914</v>
      </c>
      <c r="X69" s="283" t="s">
        <v>688</v>
      </c>
      <c r="Y69" s="283" t="s">
        <v>688</v>
      </c>
      <c r="Z69" s="286">
        <v>0.375</v>
      </c>
      <c r="AA69" s="286">
        <v>0.47916666666666669</v>
      </c>
      <c r="AB69" s="284">
        <v>9180</v>
      </c>
      <c r="AC69" s="467">
        <v>2.5</v>
      </c>
    </row>
    <row r="70" spans="1:29" ht="12.6" customHeight="1">
      <c r="A70" s="404" t="s">
        <v>835</v>
      </c>
      <c r="B70" s="468"/>
      <c r="C70" s="468"/>
      <c r="D70" s="468"/>
      <c r="E70" s="468"/>
      <c r="F70" s="468"/>
      <c r="G70" s="468"/>
      <c r="H70" s="468"/>
      <c r="I70" s="468"/>
      <c r="J70" s="559"/>
      <c r="K70" s="468"/>
      <c r="L70" s="468"/>
      <c r="M70" s="468"/>
      <c r="N70" s="468"/>
      <c r="O70" s="468"/>
      <c r="P70" s="339"/>
      <c r="Q70" s="373"/>
      <c r="R70" s="373"/>
      <c r="S70" s="373"/>
      <c r="T70" s="373"/>
      <c r="U70" s="373"/>
      <c r="V70" s="49" t="s">
        <v>422</v>
      </c>
      <c r="W70" s="39"/>
      <c r="X70" s="348"/>
      <c r="Y70" s="7"/>
      <c r="Z70" s="60"/>
      <c r="AA70" s="326"/>
      <c r="AB70" s="7"/>
      <c r="AC70" s="12"/>
    </row>
    <row r="71" spans="1:29">
      <c r="A71" s="462" t="s">
        <v>1120</v>
      </c>
      <c r="B71" s="334">
        <f>ROUND(B78*(B120+B121),0)</f>
        <v>0</v>
      </c>
      <c r="C71" s="334">
        <f t="shared" ref="C71:O71" si="18">ROUND(C78*(C120+C121),0)</f>
        <v>0</v>
      </c>
      <c r="D71" s="334">
        <f t="shared" si="18"/>
        <v>0</v>
      </c>
      <c r="E71" s="334">
        <f t="shared" si="18"/>
        <v>0</v>
      </c>
      <c r="F71" s="334">
        <f t="shared" si="18"/>
        <v>0</v>
      </c>
      <c r="G71" s="334">
        <f t="shared" si="18"/>
        <v>0</v>
      </c>
      <c r="H71" s="334">
        <f t="shared" si="18"/>
        <v>0</v>
      </c>
      <c r="I71" s="334">
        <f t="shared" si="18"/>
        <v>0</v>
      </c>
      <c r="J71" s="334">
        <f t="shared" si="18"/>
        <v>0</v>
      </c>
      <c r="K71" s="334">
        <f t="shared" si="18"/>
        <v>0</v>
      </c>
      <c r="L71" s="334">
        <f t="shared" si="18"/>
        <v>0</v>
      </c>
      <c r="M71" s="334">
        <f t="shared" si="18"/>
        <v>0</v>
      </c>
      <c r="N71" s="334">
        <f t="shared" si="18"/>
        <v>0</v>
      </c>
      <c r="O71" s="334">
        <f t="shared" si="18"/>
        <v>0</v>
      </c>
      <c r="P71" s="339">
        <f>SUM(B71:O71)</f>
        <v>0</v>
      </c>
      <c r="Q71" s="335"/>
      <c r="R71" s="335"/>
      <c r="S71" s="335"/>
      <c r="T71" s="335"/>
      <c r="U71" s="335"/>
      <c r="V71" s="49" t="s">
        <v>422</v>
      </c>
      <c r="W71" s="39"/>
      <c r="X71" s="7"/>
      <c r="Y71" s="7"/>
      <c r="Z71" s="60"/>
      <c r="AA71" s="326"/>
      <c r="AB71" s="7"/>
      <c r="AC71" s="12"/>
    </row>
    <row r="72" spans="1:29">
      <c r="A72" s="462" t="s">
        <v>832</v>
      </c>
      <c r="B72" s="334">
        <f>ROUND(B118*B78,0)</f>
        <v>6000000</v>
      </c>
      <c r="C72" s="334">
        <f t="shared" ref="C72:O72" si="19">ROUND(C118*C78,0)</f>
        <v>4860000</v>
      </c>
      <c r="D72" s="334">
        <f t="shared" si="19"/>
        <v>8238825</v>
      </c>
      <c r="E72" s="334">
        <f t="shared" si="19"/>
        <v>8307680</v>
      </c>
      <c r="F72" s="334">
        <f t="shared" si="19"/>
        <v>10338432</v>
      </c>
      <c r="G72" s="334">
        <f t="shared" si="19"/>
        <v>0</v>
      </c>
      <c r="H72" s="334">
        <f t="shared" si="19"/>
        <v>66402000</v>
      </c>
      <c r="I72" s="334">
        <f t="shared" si="19"/>
        <v>0</v>
      </c>
      <c r="J72" s="334">
        <f t="shared" si="19"/>
        <v>33240000</v>
      </c>
      <c r="K72" s="334">
        <f t="shared" si="19"/>
        <v>9600000</v>
      </c>
      <c r="L72" s="334">
        <f t="shared" si="19"/>
        <v>83076960</v>
      </c>
      <c r="M72" s="334">
        <f t="shared" si="19"/>
        <v>6923040</v>
      </c>
      <c r="N72" s="334">
        <f t="shared" si="19"/>
        <v>8307680</v>
      </c>
      <c r="O72" s="334">
        <f t="shared" si="19"/>
        <v>0</v>
      </c>
      <c r="P72" s="339">
        <f>SUM(B72:O72)</f>
        <v>245294617</v>
      </c>
      <c r="Q72" s="335"/>
      <c r="R72" s="335"/>
      <c r="S72" s="335"/>
      <c r="T72" s="335"/>
      <c r="U72" s="335"/>
      <c r="V72" s="49" t="s">
        <v>422</v>
      </c>
      <c r="W72" s="39"/>
      <c r="X72" s="7"/>
      <c r="Y72" s="7"/>
      <c r="Z72" s="60"/>
      <c r="AA72" s="326"/>
      <c r="AB72" s="7"/>
      <c r="AC72" s="12"/>
    </row>
    <row r="73" spans="1:29">
      <c r="A73" s="462" t="s">
        <v>833</v>
      </c>
      <c r="B73" s="334">
        <f>ROUND(ROUND(ROUND(ROUND((B146+B136+B137)*B13,0)*12*B15*AB33,0)/261,0)/10,0)</f>
        <v>384368</v>
      </c>
      <c r="C73" s="334"/>
      <c r="D73" s="334"/>
      <c r="E73" s="334"/>
      <c r="F73" s="334"/>
      <c r="G73" s="334"/>
      <c r="H73" s="334">
        <f>ROUND(ROUND(ROUND(ROUND((H146+H136+H137)*H13,0)*12*H15*AB34,0)/261,0)/10,0)</f>
        <v>2891716</v>
      </c>
      <c r="I73" s="334"/>
      <c r="J73" s="444"/>
      <c r="K73" s="334"/>
      <c r="L73" s="334"/>
      <c r="M73" s="334"/>
      <c r="N73" s="334"/>
      <c r="O73" s="334"/>
      <c r="P73" s="339">
        <f>SUM(B73:O73)</f>
        <v>3276084</v>
      </c>
      <c r="Q73" s="335"/>
      <c r="R73" s="335"/>
      <c r="S73" s="335"/>
      <c r="T73" s="335"/>
      <c r="U73" s="335"/>
      <c r="V73" s="49" t="s">
        <v>422</v>
      </c>
      <c r="W73" s="39"/>
      <c r="X73" s="7"/>
      <c r="Y73" s="7"/>
      <c r="Z73" s="60"/>
      <c r="AA73" s="326"/>
      <c r="AB73" s="7"/>
      <c r="AC73" s="12"/>
    </row>
    <row r="74" spans="1:29">
      <c r="A74" s="462" t="s">
        <v>834</v>
      </c>
      <c r="B74" s="334"/>
      <c r="C74" s="334">
        <f>ROUND(ROUND(C146*C13,0)*C67*50%,0)</f>
        <v>5062500</v>
      </c>
      <c r="D74" s="334"/>
      <c r="E74" s="334"/>
      <c r="F74" s="334"/>
      <c r="G74" s="334"/>
      <c r="H74" s="334">
        <f>ROUND(ROUND(H146*H13,0)*H67*50%,0)</f>
        <v>127627500</v>
      </c>
      <c r="I74" s="334"/>
      <c r="J74" s="334"/>
      <c r="K74" s="334"/>
      <c r="L74" s="334"/>
      <c r="M74" s="334"/>
      <c r="N74" s="334">
        <f>ROUND(ROUND(N146*N13,0)*N67*50%,0)</f>
        <v>4875000</v>
      </c>
      <c r="O74" s="334"/>
      <c r="P74" s="339">
        <f>SUM(B74:O74)</f>
        <v>137565000</v>
      </c>
      <c r="Q74" s="335"/>
      <c r="R74" s="335"/>
      <c r="S74" s="335"/>
      <c r="T74" s="335"/>
      <c r="U74" s="335"/>
      <c r="V74" s="49" t="s">
        <v>422</v>
      </c>
      <c r="W74" s="39"/>
      <c r="X74" s="7"/>
      <c r="Y74" s="7"/>
      <c r="Z74" s="60"/>
      <c r="AA74" s="326"/>
      <c r="AB74" s="7"/>
      <c r="AC74" s="12"/>
    </row>
    <row r="75" spans="1:29">
      <c r="A75" s="462"/>
      <c r="B75" s="468"/>
      <c r="C75" s="468"/>
      <c r="D75" s="468"/>
      <c r="E75" s="468"/>
      <c r="F75" s="468"/>
      <c r="G75" s="468"/>
      <c r="H75" s="468"/>
      <c r="I75" s="468"/>
      <c r="J75" s="559"/>
      <c r="K75" s="468"/>
      <c r="L75" s="468"/>
      <c r="M75" s="468"/>
      <c r="N75" s="468"/>
      <c r="O75" s="468"/>
      <c r="P75" s="339"/>
      <c r="Q75" s="341"/>
      <c r="R75" s="341"/>
      <c r="S75" s="341"/>
      <c r="T75" s="341"/>
      <c r="U75" s="341"/>
      <c r="V75" s="49" t="s">
        <v>422</v>
      </c>
      <c r="W75" s="39"/>
      <c r="X75" s="7"/>
      <c r="Y75" s="7"/>
      <c r="Z75" s="60"/>
      <c r="AA75" s="326"/>
      <c r="AB75" s="7"/>
      <c r="AC75" s="12"/>
    </row>
    <row r="76" spans="1:29" ht="15.6">
      <c r="A76" s="404" t="s">
        <v>483</v>
      </c>
      <c r="B76" s="325"/>
      <c r="C76" s="326"/>
      <c r="D76" s="326"/>
      <c r="E76" s="334"/>
      <c r="F76" s="326"/>
      <c r="G76" s="326"/>
      <c r="H76" s="326"/>
      <c r="I76" s="326"/>
      <c r="J76" s="326"/>
      <c r="K76" s="334"/>
      <c r="L76" s="334"/>
      <c r="M76" s="334"/>
      <c r="N76" s="334"/>
      <c r="O76" s="334"/>
      <c r="P76" s="339"/>
      <c r="Q76" s="341"/>
      <c r="R76" s="341"/>
      <c r="S76" s="341"/>
      <c r="T76" s="341"/>
      <c r="U76" s="341"/>
      <c r="V76" s="33"/>
      <c r="W76" s="45"/>
      <c r="X76" s="13"/>
      <c r="Y76" s="13"/>
      <c r="Z76" s="13"/>
      <c r="AA76" s="13"/>
      <c r="AB76" s="13"/>
      <c r="AC76" s="18"/>
    </row>
    <row r="77" spans="1:29">
      <c r="A77" s="436" t="s">
        <v>488</v>
      </c>
      <c r="B77" s="326">
        <f>IF(B11&lt;&gt;"C",ROUND(B145*12/52/40,0),0)</f>
        <v>28846</v>
      </c>
      <c r="C77" s="326">
        <f t="shared" ref="C77:O77" si="20">IF(C11&lt;&gt;"C",ROUND(C145*12/52/40,0),0)</f>
        <v>25962</v>
      </c>
      <c r="D77" s="326">
        <f t="shared" si="20"/>
        <v>40385</v>
      </c>
      <c r="E77" s="326">
        <f t="shared" si="20"/>
        <v>51923</v>
      </c>
      <c r="F77" s="326">
        <f t="shared" si="20"/>
        <v>80769</v>
      </c>
      <c r="G77" s="326">
        <f t="shared" si="20"/>
        <v>0</v>
      </c>
      <c r="H77" s="326">
        <f t="shared" si="20"/>
        <v>629213</v>
      </c>
      <c r="I77" s="326">
        <f t="shared" si="20"/>
        <v>495338</v>
      </c>
      <c r="J77" s="326">
        <f t="shared" si="20"/>
        <v>288462</v>
      </c>
      <c r="K77" s="326">
        <f t="shared" si="20"/>
        <v>46154</v>
      </c>
      <c r="L77" s="326">
        <f t="shared" si="20"/>
        <v>519231</v>
      </c>
      <c r="M77" s="326">
        <f t="shared" si="20"/>
        <v>28846</v>
      </c>
      <c r="N77" s="326">
        <f t="shared" si="20"/>
        <v>37500</v>
      </c>
      <c r="O77" s="326">
        <f t="shared" si="20"/>
        <v>0</v>
      </c>
      <c r="P77" s="339">
        <f t="shared" ref="P77:P85" si="21">SUM(B77:O77)</f>
        <v>2272629</v>
      </c>
      <c r="Q77" s="341"/>
      <c r="R77" s="341"/>
      <c r="S77" s="341"/>
      <c r="T77" s="341"/>
      <c r="U77" s="341"/>
      <c r="V77" s="33"/>
      <c r="W77" s="45"/>
      <c r="X77" s="13"/>
      <c r="Y77" s="13"/>
      <c r="Z77" s="13"/>
      <c r="AA77" s="13"/>
      <c r="AB77" s="13"/>
      <c r="AC77" s="18"/>
    </row>
    <row r="78" spans="1:29">
      <c r="A78" s="436" t="s">
        <v>499</v>
      </c>
      <c r="B78" s="326">
        <f>IF(B11&lt;&gt;"C",ROUND(SUM(B145,B133:B134,B136)*12/52/40,0),0)</f>
        <v>37500</v>
      </c>
      <c r="C78" s="326">
        <f t="shared" ref="C78:O78" si="22">IF(C11&lt;&gt;"C",ROUND(SUM(C145,C133:C134,C136)*12/52/40,0),0)</f>
        <v>33750</v>
      </c>
      <c r="D78" s="326">
        <f t="shared" si="22"/>
        <v>52500</v>
      </c>
      <c r="E78" s="326">
        <f t="shared" si="22"/>
        <v>51923</v>
      </c>
      <c r="F78" s="326">
        <f t="shared" si="22"/>
        <v>80769</v>
      </c>
      <c r="G78" s="326">
        <f t="shared" si="22"/>
        <v>0</v>
      </c>
      <c r="H78" s="326">
        <f t="shared" si="22"/>
        <v>830025</v>
      </c>
      <c r="I78" s="326">
        <f t="shared" si="22"/>
        <v>495338</v>
      </c>
      <c r="J78" s="326">
        <f t="shared" si="22"/>
        <v>375000</v>
      </c>
      <c r="K78" s="326">
        <f t="shared" si="22"/>
        <v>60000</v>
      </c>
      <c r="L78" s="326">
        <f t="shared" si="22"/>
        <v>519231</v>
      </c>
      <c r="M78" s="326">
        <f t="shared" si="22"/>
        <v>43269</v>
      </c>
      <c r="N78" s="326">
        <f t="shared" si="22"/>
        <v>51923</v>
      </c>
      <c r="O78" s="326">
        <f t="shared" si="22"/>
        <v>0</v>
      </c>
      <c r="P78" s="339">
        <f t="shared" si="21"/>
        <v>2631228</v>
      </c>
      <c r="Q78" s="341"/>
      <c r="R78" s="341"/>
      <c r="S78" s="341"/>
      <c r="T78" s="341"/>
      <c r="U78" s="341"/>
      <c r="V78" s="33"/>
      <c r="W78" s="45"/>
      <c r="X78" s="13"/>
      <c r="Y78" s="13"/>
      <c r="Z78" s="13"/>
      <c r="AA78" s="13"/>
      <c r="AB78" s="13"/>
      <c r="AC78" s="18"/>
    </row>
    <row r="79" spans="1:29">
      <c r="A79" s="436" t="s">
        <v>500</v>
      </c>
      <c r="B79" s="326">
        <f>ROUND(B145/B15,0)</f>
        <v>227273</v>
      </c>
      <c r="C79" s="326">
        <f t="shared" ref="C79:O79" si="23">ROUND(C145/C15,0)</f>
        <v>204545</v>
      </c>
      <c r="D79" s="326">
        <f t="shared" si="23"/>
        <v>318182</v>
      </c>
      <c r="E79" s="326">
        <f t="shared" si="23"/>
        <v>409091</v>
      </c>
      <c r="F79" s="326">
        <f t="shared" si="23"/>
        <v>636364</v>
      </c>
      <c r="G79" s="326">
        <f t="shared" si="23"/>
        <v>0</v>
      </c>
      <c r="H79" s="326">
        <f t="shared" si="23"/>
        <v>4957432</v>
      </c>
      <c r="I79" s="326">
        <f t="shared" si="23"/>
        <v>3902659</v>
      </c>
      <c r="J79" s="326">
        <f t="shared" si="23"/>
        <v>2272727</v>
      </c>
      <c r="K79" s="326">
        <f t="shared" si="23"/>
        <v>363636</v>
      </c>
      <c r="L79" s="326">
        <f t="shared" si="23"/>
        <v>4090909</v>
      </c>
      <c r="M79" s="326">
        <f t="shared" si="23"/>
        <v>227273</v>
      </c>
      <c r="N79" s="326">
        <f t="shared" si="23"/>
        <v>295455</v>
      </c>
      <c r="O79" s="326">
        <f t="shared" si="23"/>
        <v>0</v>
      </c>
      <c r="P79" s="339">
        <f t="shared" si="21"/>
        <v>17905546</v>
      </c>
      <c r="Q79" s="341"/>
      <c r="R79" s="341"/>
      <c r="S79" s="341"/>
      <c r="T79" s="341"/>
      <c r="U79" s="341"/>
      <c r="V79" s="32"/>
      <c r="W79" s="44"/>
      <c r="X79" s="13"/>
      <c r="Y79" s="13"/>
      <c r="Z79" s="13"/>
      <c r="AA79" s="13"/>
      <c r="AB79" s="13"/>
      <c r="AC79" s="18"/>
    </row>
    <row r="80" spans="1:29">
      <c r="A80" s="436" t="s">
        <v>621</v>
      </c>
      <c r="B80" s="326">
        <f>ROUND(SUM(B133:B135,B137:B139)/B15,0)</f>
        <v>68182</v>
      </c>
      <c r="C80" s="326">
        <f t="shared" ref="C80:O80" si="24">ROUND(SUM(C133:C135,C137:C139)/C15,0)</f>
        <v>61364</v>
      </c>
      <c r="D80" s="326">
        <f t="shared" si="24"/>
        <v>95455</v>
      </c>
      <c r="E80" s="326">
        <f t="shared" si="24"/>
        <v>0</v>
      </c>
      <c r="F80" s="326">
        <f t="shared" si="24"/>
        <v>0</v>
      </c>
      <c r="G80" s="326">
        <f t="shared" si="24"/>
        <v>0</v>
      </c>
      <c r="H80" s="326">
        <f t="shared" si="24"/>
        <v>1582159</v>
      </c>
      <c r="I80" s="326">
        <f t="shared" si="24"/>
        <v>0</v>
      </c>
      <c r="J80" s="326">
        <f t="shared" si="24"/>
        <v>681818</v>
      </c>
      <c r="K80" s="326">
        <f t="shared" si="24"/>
        <v>109091</v>
      </c>
      <c r="L80" s="326">
        <f t="shared" si="24"/>
        <v>0</v>
      </c>
      <c r="M80" s="326">
        <f t="shared" si="24"/>
        <v>113636</v>
      </c>
      <c r="N80" s="326">
        <f t="shared" si="24"/>
        <v>113636</v>
      </c>
      <c r="O80" s="326">
        <f t="shared" si="24"/>
        <v>0</v>
      </c>
      <c r="P80" s="339">
        <f t="shared" si="21"/>
        <v>2825341</v>
      </c>
      <c r="Q80" s="341"/>
      <c r="R80" s="341"/>
      <c r="S80" s="341"/>
      <c r="T80" s="341"/>
      <c r="U80" s="341"/>
      <c r="V80" s="34"/>
      <c r="W80" s="46"/>
      <c r="X80" s="35"/>
      <c r="Y80" s="35"/>
      <c r="Z80" s="35"/>
      <c r="AA80" s="35"/>
      <c r="AB80" s="35"/>
      <c r="AC80" s="36"/>
    </row>
    <row r="81" spans="1:29">
      <c r="A81" s="436" t="s">
        <v>501</v>
      </c>
      <c r="B81" s="631">
        <f t="shared" ref="B81:O81" si="25">ROUND(B14/B15*B13,7)</f>
        <v>1</v>
      </c>
      <c r="C81" s="631">
        <f t="shared" si="25"/>
        <v>0.9</v>
      </c>
      <c r="D81" s="631">
        <f t="shared" si="25"/>
        <v>1</v>
      </c>
      <c r="E81" s="631">
        <f t="shared" si="25"/>
        <v>1</v>
      </c>
      <c r="F81" s="631">
        <f t="shared" si="25"/>
        <v>0.8</v>
      </c>
      <c r="G81" s="631">
        <f t="shared" si="25"/>
        <v>1</v>
      </c>
      <c r="H81" s="631">
        <f t="shared" si="25"/>
        <v>0.5</v>
      </c>
      <c r="I81" s="631">
        <f t="shared" si="25"/>
        <v>0.75</v>
      </c>
      <c r="J81" s="631">
        <f t="shared" si="25"/>
        <v>0.6</v>
      </c>
      <c r="K81" s="631">
        <f t="shared" si="25"/>
        <v>1</v>
      </c>
      <c r="L81" s="631">
        <f t="shared" si="25"/>
        <v>1</v>
      </c>
      <c r="M81" s="631">
        <f t="shared" si="25"/>
        <v>1</v>
      </c>
      <c r="N81" s="631">
        <f t="shared" si="25"/>
        <v>1</v>
      </c>
      <c r="O81" s="631">
        <f t="shared" si="25"/>
        <v>1</v>
      </c>
      <c r="P81" s="339"/>
      <c r="Q81" s="342"/>
      <c r="R81" s="342"/>
      <c r="S81" s="342"/>
      <c r="T81" s="342"/>
      <c r="U81" s="342"/>
    </row>
    <row r="82" spans="1:29">
      <c r="A82" s="436" t="s">
        <v>502</v>
      </c>
      <c r="B82" s="631">
        <f t="shared" ref="B82:O82" si="26">ROUND((B14-B140)/261*B13,8)</f>
        <v>8.4291190000000002E-2</v>
      </c>
      <c r="C82" s="631">
        <f t="shared" si="26"/>
        <v>7.5862070000000004E-2</v>
      </c>
      <c r="D82" s="631">
        <f t="shared" si="26"/>
        <v>8.4291190000000002E-2</v>
      </c>
      <c r="E82" s="631">
        <f t="shared" si="26"/>
        <v>8.4291190000000002E-2</v>
      </c>
      <c r="F82" s="631">
        <f t="shared" si="26"/>
        <v>6.7432950000000005E-2</v>
      </c>
      <c r="G82" s="631">
        <f t="shared" si="26"/>
        <v>8.4291190000000002E-2</v>
      </c>
      <c r="H82" s="631">
        <f t="shared" si="26"/>
        <v>4.2145589999999997E-2</v>
      </c>
      <c r="I82" s="631">
        <f t="shared" si="26"/>
        <v>6.3218389999999999E-2</v>
      </c>
      <c r="J82" s="631">
        <f>ROUND((J14-J140)/261*J13,8)</f>
        <v>5.0574710000000002E-2</v>
      </c>
      <c r="K82" s="631">
        <f t="shared" si="26"/>
        <v>8.4291190000000002E-2</v>
      </c>
      <c r="L82" s="631">
        <f t="shared" si="26"/>
        <v>8.4291190000000002E-2</v>
      </c>
      <c r="M82" s="631">
        <f t="shared" si="26"/>
        <v>8.4291190000000002E-2</v>
      </c>
      <c r="N82" s="631">
        <f t="shared" si="26"/>
        <v>8.4291190000000002E-2</v>
      </c>
      <c r="O82" s="631">
        <f t="shared" si="26"/>
        <v>8.4291190000000002E-2</v>
      </c>
      <c r="P82" s="339"/>
      <c r="Q82" s="341"/>
      <c r="R82" s="341"/>
      <c r="S82" s="341"/>
      <c r="T82" s="341"/>
      <c r="U82" s="341"/>
      <c r="V82"/>
      <c r="W82"/>
      <c r="X82"/>
      <c r="Y82"/>
      <c r="Z82"/>
      <c r="AA82"/>
      <c r="AB82"/>
      <c r="AC82"/>
    </row>
    <row r="83" spans="1:29">
      <c r="A83" s="436" t="s">
        <v>503</v>
      </c>
      <c r="B83" s="631">
        <f t="shared" ref="B83:O83" si="27">ROUND(B142/B15,7)</f>
        <v>0</v>
      </c>
      <c r="C83" s="631">
        <f t="shared" si="27"/>
        <v>0</v>
      </c>
      <c r="D83" s="631">
        <f t="shared" si="27"/>
        <v>0</v>
      </c>
      <c r="E83" s="631">
        <f t="shared" si="27"/>
        <v>0</v>
      </c>
      <c r="F83" s="631">
        <f t="shared" si="27"/>
        <v>0</v>
      </c>
      <c r="G83" s="631">
        <f t="shared" si="27"/>
        <v>0</v>
      </c>
      <c r="H83" s="631">
        <f t="shared" si="27"/>
        <v>0</v>
      </c>
      <c r="I83" s="631">
        <f t="shared" si="27"/>
        <v>0</v>
      </c>
      <c r="J83" s="631">
        <f t="shared" si="27"/>
        <v>0</v>
      </c>
      <c r="K83" s="631">
        <f t="shared" si="27"/>
        <v>0</v>
      </c>
      <c r="L83" s="631">
        <f t="shared" si="27"/>
        <v>0</v>
      </c>
      <c r="M83" s="631">
        <f t="shared" si="27"/>
        <v>0</v>
      </c>
      <c r="N83" s="631">
        <f t="shared" si="27"/>
        <v>0</v>
      </c>
      <c r="O83" s="631">
        <f t="shared" si="27"/>
        <v>0</v>
      </c>
      <c r="P83" s="339"/>
      <c r="Q83" s="341"/>
      <c r="R83" s="341"/>
      <c r="S83" s="341"/>
      <c r="T83" s="341"/>
      <c r="U83" s="341"/>
      <c r="V83"/>
      <c r="W83"/>
      <c r="X83"/>
      <c r="Y83"/>
      <c r="Z83"/>
      <c r="AA83"/>
      <c r="AB83"/>
      <c r="AC83"/>
    </row>
    <row r="84" spans="1:29">
      <c r="A84" s="408" t="s">
        <v>492</v>
      </c>
      <c r="B84" s="325">
        <f>ROUND(AA23*B16/365,0)</f>
        <v>657534</v>
      </c>
      <c r="C84" s="326">
        <f>ROUND(AA24*C16/365,0)</f>
        <v>657534</v>
      </c>
      <c r="E84" s="326">
        <f>ROUND(AA25*E16/365,0)</f>
        <v>657534</v>
      </c>
      <c r="F84" s="326">
        <f>ROUND(AA26*F16/365,0)</f>
        <v>657534</v>
      </c>
      <c r="G84" s="326"/>
      <c r="H84" s="326">
        <f>ROUND(AA27*G16/365,0)</f>
        <v>657534</v>
      </c>
      <c r="I84" s="326"/>
      <c r="J84" s="326"/>
      <c r="K84" s="334"/>
      <c r="L84" s="334"/>
      <c r="M84" s="334"/>
      <c r="N84" s="334"/>
      <c r="O84" s="334"/>
      <c r="P84" s="339">
        <f t="shared" si="21"/>
        <v>3287670</v>
      </c>
      <c r="Q84" s="341"/>
      <c r="R84" s="341"/>
      <c r="S84" s="341"/>
      <c r="T84" s="341"/>
      <c r="U84" s="341"/>
      <c r="V84"/>
      <c r="W84"/>
      <c r="X84"/>
      <c r="Y84"/>
      <c r="Z84"/>
      <c r="AA84"/>
      <c r="AB84"/>
      <c r="AC84"/>
    </row>
    <row r="85" spans="1:29">
      <c r="A85" s="405" t="s">
        <v>534</v>
      </c>
      <c r="B85" s="325"/>
      <c r="C85" s="326"/>
      <c r="E85" s="326"/>
      <c r="F85" s="326"/>
      <c r="G85" s="326"/>
      <c r="H85" s="326">
        <f>ROUND(AA28*G16/365,0)</f>
        <v>575342</v>
      </c>
      <c r="I85" s="326"/>
      <c r="J85" s="326"/>
      <c r="K85" s="326"/>
      <c r="L85" s="326"/>
      <c r="M85" s="326"/>
      <c r="N85" s="326"/>
      <c r="O85" s="326"/>
      <c r="P85" s="339">
        <f t="shared" si="21"/>
        <v>575342</v>
      </c>
      <c r="Q85" s="341"/>
      <c r="R85" s="341"/>
      <c r="S85" s="341"/>
      <c r="T85" s="341"/>
      <c r="U85" s="341"/>
      <c r="V85"/>
      <c r="W85"/>
      <c r="X85"/>
      <c r="Y85"/>
      <c r="Z85"/>
      <c r="AA85"/>
      <c r="AB85"/>
      <c r="AC85"/>
    </row>
    <row r="86" spans="1:29">
      <c r="A86" s="405" t="s">
        <v>606</v>
      </c>
      <c r="B86" s="396"/>
      <c r="C86" s="80"/>
      <c r="D86" s="326"/>
      <c r="E86" s="326"/>
      <c r="F86" s="326"/>
      <c r="G86" s="326"/>
      <c r="H86" s="326">
        <f>AA29*B4</f>
        <v>2320500</v>
      </c>
      <c r="I86" s="326">
        <f>AA30*B4</f>
        <v>2320500</v>
      </c>
      <c r="J86" s="326"/>
      <c r="K86" s="334"/>
      <c r="L86" s="334"/>
      <c r="M86" s="334"/>
      <c r="N86" s="334"/>
      <c r="O86" s="334"/>
      <c r="P86" s="338">
        <f>SUM(D86:O86)</f>
        <v>4641000</v>
      </c>
      <c r="Q86" s="373"/>
      <c r="R86" s="373"/>
      <c r="S86" s="373"/>
      <c r="T86" s="373"/>
      <c r="U86" s="373"/>
      <c r="V86"/>
      <c r="W86"/>
      <c r="X86"/>
      <c r="Y86"/>
      <c r="Z86"/>
      <c r="AA86"/>
      <c r="AB86"/>
      <c r="AC86"/>
    </row>
    <row r="87" spans="1:29">
      <c r="A87" s="405" t="s">
        <v>607</v>
      </c>
      <c r="B87" s="396"/>
      <c r="C87" s="80"/>
      <c r="D87" s="326"/>
      <c r="E87" s="326"/>
      <c r="F87" s="326"/>
      <c r="G87" s="326"/>
      <c r="H87" s="326">
        <f>AA31*B4</f>
        <v>4641000</v>
      </c>
      <c r="I87" s="326">
        <f>AA32*B4</f>
        <v>4641000</v>
      </c>
      <c r="J87" s="326"/>
      <c r="K87" s="334"/>
      <c r="L87" s="334"/>
      <c r="M87" s="334"/>
      <c r="N87" s="334"/>
      <c r="O87" s="334"/>
      <c r="P87" s="338">
        <f>SUM(D87:O87)</f>
        <v>9282000</v>
      </c>
      <c r="Q87" s="373"/>
      <c r="R87" s="373"/>
      <c r="S87" s="373"/>
      <c r="T87" s="373"/>
      <c r="U87" s="373"/>
      <c r="V87"/>
      <c r="W87"/>
      <c r="X87"/>
      <c r="Y87"/>
      <c r="Z87"/>
      <c r="AA87"/>
      <c r="AB87"/>
      <c r="AC87"/>
    </row>
    <row r="88" spans="1:29">
      <c r="A88" s="405"/>
      <c r="B88" s="325"/>
      <c r="C88" s="326"/>
      <c r="D88" s="326"/>
      <c r="E88" s="334"/>
      <c r="F88" s="326"/>
      <c r="G88" s="326"/>
      <c r="H88" s="326"/>
      <c r="I88" s="326"/>
      <c r="J88" s="326"/>
      <c r="K88" s="334"/>
      <c r="L88" s="334"/>
      <c r="M88" s="334"/>
      <c r="N88" s="334"/>
      <c r="O88" s="334"/>
      <c r="P88" s="339"/>
      <c r="Q88" s="341"/>
      <c r="R88" s="341"/>
      <c r="S88" s="341"/>
      <c r="T88" s="341"/>
      <c r="U88" s="341"/>
    </row>
    <row r="89" spans="1:29">
      <c r="A89" s="436" t="s">
        <v>576</v>
      </c>
      <c r="B89" s="326">
        <f t="shared" ref="B89:O89" si="28">SUM(B24:B27)</f>
        <v>6500000</v>
      </c>
      <c r="C89" s="326">
        <f t="shared" si="28"/>
        <v>5265000</v>
      </c>
      <c r="D89" s="326">
        <f t="shared" si="28"/>
        <v>9100000</v>
      </c>
      <c r="E89" s="326">
        <f t="shared" si="28"/>
        <v>9000000</v>
      </c>
      <c r="F89" s="326">
        <f t="shared" si="28"/>
        <v>11200000</v>
      </c>
      <c r="G89" s="326">
        <f t="shared" si="28"/>
        <v>23205000</v>
      </c>
      <c r="H89" s="326">
        <f t="shared" si="28"/>
        <v>68454750</v>
      </c>
      <c r="I89" s="326">
        <f t="shared" si="28"/>
        <v>62653500</v>
      </c>
      <c r="J89" s="326">
        <f t="shared" si="28"/>
        <v>39000000</v>
      </c>
      <c r="K89" s="326">
        <f t="shared" si="28"/>
        <v>10400000</v>
      </c>
      <c r="L89" s="326">
        <f t="shared" si="28"/>
        <v>90000000</v>
      </c>
      <c r="M89" s="326">
        <f t="shared" si="28"/>
        <v>7500000</v>
      </c>
      <c r="N89" s="326">
        <f t="shared" si="28"/>
        <v>9000000</v>
      </c>
      <c r="O89" s="326">
        <f t="shared" si="28"/>
        <v>4000000</v>
      </c>
      <c r="P89" s="339">
        <f t="shared" ref="P89:P149" si="29">SUM(B89:O89)</f>
        <v>355278250</v>
      </c>
      <c r="Q89" s="341"/>
      <c r="R89" s="341"/>
      <c r="S89" s="341"/>
      <c r="T89" s="341"/>
      <c r="U89" s="341"/>
    </row>
    <row r="90" spans="1:29">
      <c r="A90" s="436" t="s">
        <v>484</v>
      </c>
      <c r="B90" s="326">
        <f>SUM(B24:B27,B37)</f>
        <v>6694778</v>
      </c>
      <c r="C90" s="326">
        <f t="shared" ref="C90:O90" si="30">SUM(C24:C27,C62,C37)</f>
        <v>6273134</v>
      </c>
      <c r="D90" s="326">
        <f t="shared" si="30"/>
        <v>9100000</v>
      </c>
      <c r="E90" s="326">
        <f t="shared" si="30"/>
        <v>9949701</v>
      </c>
      <c r="F90" s="326">
        <f t="shared" si="30"/>
        <v>11857534</v>
      </c>
      <c r="G90" s="326">
        <f t="shared" si="30"/>
        <v>23205000</v>
      </c>
      <c r="H90" s="326">
        <f t="shared" si="30"/>
        <v>71958953</v>
      </c>
      <c r="I90" s="326">
        <f t="shared" si="30"/>
        <v>62653500</v>
      </c>
      <c r="J90" s="326">
        <f t="shared" si="30"/>
        <v>39000000</v>
      </c>
      <c r="K90" s="326">
        <f t="shared" si="30"/>
        <v>10400000</v>
      </c>
      <c r="L90" s="326">
        <f t="shared" si="30"/>
        <v>90000000</v>
      </c>
      <c r="M90" s="326">
        <f t="shared" si="30"/>
        <v>7500000</v>
      </c>
      <c r="N90" s="326">
        <f t="shared" si="30"/>
        <v>9000000</v>
      </c>
      <c r="O90" s="326">
        <f t="shared" si="30"/>
        <v>4000000</v>
      </c>
      <c r="P90" s="339">
        <f t="shared" si="29"/>
        <v>361592600</v>
      </c>
      <c r="Q90" s="341"/>
      <c r="R90" s="341"/>
      <c r="S90" s="341"/>
      <c r="T90" s="341"/>
      <c r="U90" s="341"/>
    </row>
    <row r="91" spans="1:29">
      <c r="A91" s="436" t="s">
        <v>578</v>
      </c>
      <c r="B91" s="326">
        <f>MIN(IF(OR(B18="A",B18="B"),ROUND(SUM(B131,B133,B134,B136)*B13,0),B147),27800000)</f>
        <v>6500000</v>
      </c>
      <c r="C91" s="326">
        <f t="shared" ref="C91:O91" si="31">MIN(IF(OR(C18="A",C18="B"),ROUND(SUM(C131,C133,C134,C136)*C13,0),C147),27800000)</f>
        <v>5265000</v>
      </c>
      <c r="D91" s="326">
        <f t="shared" si="31"/>
        <v>9100000</v>
      </c>
      <c r="E91" s="326">
        <f t="shared" si="31"/>
        <v>9000000</v>
      </c>
      <c r="F91" s="326">
        <f t="shared" si="31"/>
        <v>11200000</v>
      </c>
      <c r="G91" s="326">
        <f t="shared" si="31"/>
        <v>0</v>
      </c>
      <c r="H91" s="326">
        <f t="shared" si="31"/>
        <v>27800000</v>
      </c>
      <c r="I91" s="326">
        <f t="shared" si="31"/>
        <v>27800000</v>
      </c>
      <c r="J91" s="326">
        <f t="shared" si="31"/>
        <v>27800000</v>
      </c>
      <c r="K91" s="326">
        <f t="shared" si="31"/>
        <v>10400000</v>
      </c>
      <c r="L91" s="326">
        <f t="shared" si="31"/>
        <v>27800000</v>
      </c>
      <c r="M91" s="326">
        <f t="shared" si="31"/>
        <v>7500000</v>
      </c>
      <c r="N91" s="326">
        <f t="shared" si="31"/>
        <v>9000000</v>
      </c>
      <c r="O91" s="326">
        <f t="shared" si="31"/>
        <v>0</v>
      </c>
      <c r="P91" s="339">
        <f t="shared" si="29"/>
        <v>179165000</v>
      </c>
      <c r="Q91" s="341"/>
      <c r="R91" s="341"/>
      <c r="S91" s="341"/>
      <c r="T91" s="341"/>
      <c r="U91" s="341"/>
    </row>
    <row r="92" spans="1:29">
      <c r="A92" s="405" t="s">
        <v>1200</v>
      </c>
      <c r="B92" s="326">
        <f>MIN(IF(OR(B18="A",B18="B"),ROUND(SUM(B131,B133,B134,B136)*B13,0),B148))</f>
        <v>6500000</v>
      </c>
      <c r="C92" s="326">
        <f t="shared" ref="C92:O92" si="32">MIN(IF(OR(C18="A",C18="B"),ROUND(SUM(C131,C133,C134,C136)*C13,0),C148))</f>
        <v>5265000</v>
      </c>
      <c r="D92" s="326">
        <f t="shared" si="32"/>
        <v>9100000</v>
      </c>
      <c r="E92" s="326">
        <f t="shared" si="32"/>
        <v>9000000</v>
      </c>
      <c r="F92" s="326">
        <f t="shared" si="32"/>
        <v>11200000</v>
      </c>
      <c r="G92" s="326">
        <f t="shared" si="32"/>
        <v>0</v>
      </c>
      <c r="H92" s="326">
        <f t="shared" si="32"/>
        <v>69325000</v>
      </c>
      <c r="I92" s="326">
        <f t="shared" si="32"/>
        <v>63450000</v>
      </c>
      <c r="J92" s="326">
        <f t="shared" si="32"/>
        <v>39000000</v>
      </c>
      <c r="K92" s="326">
        <f t="shared" si="32"/>
        <v>10400000</v>
      </c>
      <c r="L92" s="326">
        <f t="shared" si="32"/>
        <v>90000000</v>
      </c>
      <c r="M92" s="326">
        <f t="shared" si="32"/>
        <v>7500000</v>
      </c>
      <c r="N92" s="326">
        <f t="shared" si="32"/>
        <v>9000000</v>
      </c>
      <c r="O92" s="326">
        <f t="shared" si="32"/>
        <v>0</v>
      </c>
      <c r="P92" s="339">
        <f t="shared" si="29"/>
        <v>329740000</v>
      </c>
      <c r="Q92" s="341"/>
      <c r="R92" s="341"/>
      <c r="S92" s="341"/>
      <c r="T92" s="341"/>
      <c r="U92" s="341"/>
    </row>
    <row r="93" spans="1:29">
      <c r="A93" s="405" t="s">
        <v>580</v>
      </c>
      <c r="B93" s="326">
        <f>IF(OR(B18="A",B18="B"),ROUND(SUM(B146,B133,B134,B137,B138,B136)*B13,0),ROUND(SUM(B146,B133,B134,B136)*B13,0))</f>
        <v>6500000</v>
      </c>
      <c r="C93" s="326">
        <f t="shared" ref="C93:O93" si="33">IF(OR(C18="A",C18="B"),ROUND(SUM(C146,C133,C134,C137,C138,C136)*C13,0),ROUND(SUM(C146,C133,C134,C136)*C13,0))</f>
        <v>5265000</v>
      </c>
      <c r="D93" s="326">
        <f t="shared" si="33"/>
        <v>9100000</v>
      </c>
      <c r="E93" s="326">
        <f t="shared" si="33"/>
        <v>9000000</v>
      </c>
      <c r="F93" s="326">
        <f t="shared" si="33"/>
        <v>11200000</v>
      </c>
      <c r="G93" s="326">
        <f t="shared" si="33"/>
        <v>0</v>
      </c>
      <c r="H93" s="326">
        <f t="shared" si="33"/>
        <v>68454750</v>
      </c>
      <c r="I93" s="326">
        <f t="shared" si="33"/>
        <v>62653500</v>
      </c>
      <c r="J93" s="326">
        <f t="shared" si="33"/>
        <v>39000000</v>
      </c>
      <c r="K93" s="326">
        <f t="shared" si="33"/>
        <v>10400000</v>
      </c>
      <c r="L93" s="326">
        <f t="shared" si="33"/>
        <v>90000000</v>
      </c>
      <c r="M93" s="326">
        <f t="shared" si="33"/>
        <v>7500000</v>
      </c>
      <c r="N93" s="326">
        <f t="shared" si="33"/>
        <v>9000000</v>
      </c>
      <c r="O93" s="326">
        <f t="shared" si="33"/>
        <v>0</v>
      </c>
      <c r="P93" s="339">
        <f t="shared" si="29"/>
        <v>328073250</v>
      </c>
      <c r="Q93" s="341"/>
      <c r="R93" s="341"/>
      <c r="S93" s="341"/>
      <c r="T93" s="341"/>
      <c r="U93" s="341"/>
    </row>
    <row r="94" spans="1:29">
      <c r="A94" s="405" t="s">
        <v>481</v>
      </c>
      <c r="B94" s="326">
        <f>ROUND('UAT3-Mar'!B78/3,0)</f>
        <v>9033333</v>
      </c>
      <c r="C94" s="326">
        <f>ROUND('UAT3-Mar'!C78/3,0)</f>
        <v>7983000</v>
      </c>
      <c r="D94" s="326">
        <f>ROUND('UAT3-Mar'!D78/3,0)</f>
        <v>11132319</v>
      </c>
      <c r="E94" s="326">
        <f>ROUND('UAT3-Mar'!E78/3,0)</f>
        <v>10200000</v>
      </c>
      <c r="F94" s="326">
        <f>ROUND('UAT3-Mar'!F78/3,0)</f>
        <v>12160000</v>
      </c>
      <c r="G94" s="326">
        <f>ROUND('UAT3-Mar'!G78/3,0)</f>
        <v>0</v>
      </c>
      <c r="H94" s="326">
        <f>ROUND('UAT3-Mar'!H78/3,0)</f>
        <v>71162000</v>
      </c>
      <c r="I94" s="326">
        <f>ROUND('UAT3-Mar'!I78/3,0)</f>
        <v>66540337</v>
      </c>
      <c r="J94" s="326">
        <f>ROUND('UAT3-Mar'!J78/3,0)</f>
        <v>39000000</v>
      </c>
      <c r="K94" s="326">
        <f>ROUND('UAT3-Mar'!K78/3,0)</f>
        <v>10886667</v>
      </c>
      <c r="L94" s="326">
        <f>ROUND('UAT3-Mar'!L78/3,0)</f>
        <v>90000000</v>
      </c>
      <c r="M94" s="326">
        <f>ROUND('UAT3-Mar'!M78/3,0)</f>
        <v>7500000</v>
      </c>
      <c r="N94" s="326">
        <f>ROUND('UAT3-Mar'!N78/3,0)</f>
        <v>9000000</v>
      </c>
      <c r="O94" s="326">
        <f>ROUND('UAT3-Mar'!O78/3,0)</f>
        <v>0</v>
      </c>
      <c r="P94" s="339">
        <f t="shared" si="29"/>
        <v>344597656</v>
      </c>
      <c r="Q94" s="341"/>
      <c r="R94" s="341"/>
      <c r="S94" s="341"/>
      <c r="T94" s="341"/>
      <c r="U94" s="341"/>
    </row>
    <row r="95" spans="1:29">
      <c r="A95" s="436" t="s">
        <v>600</v>
      </c>
      <c r="B95" s="326">
        <f t="shared" ref="B95:O95" si="34">SUM(B43:B45)</f>
        <v>682500</v>
      </c>
      <c r="C95" s="326">
        <f t="shared" si="34"/>
        <v>552825</v>
      </c>
      <c r="D95" s="326">
        <f t="shared" si="34"/>
        <v>227500</v>
      </c>
      <c r="E95" s="326">
        <f t="shared" si="34"/>
        <v>945000</v>
      </c>
      <c r="F95" s="326">
        <f t="shared" si="34"/>
        <v>0</v>
      </c>
      <c r="G95" s="326">
        <f t="shared" si="34"/>
        <v>0</v>
      </c>
      <c r="H95" s="326">
        <f t="shared" si="34"/>
        <v>417000</v>
      </c>
      <c r="I95" s="326">
        <f t="shared" si="34"/>
        <v>417000</v>
      </c>
      <c r="J95" s="326">
        <f t="shared" si="34"/>
        <v>3031000</v>
      </c>
      <c r="K95" s="326">
        <f t="shared" si="34"/>
        <v>0</v>
      </c>
      <c r="L95" s="326">
        <f t="shared" si="34"/>
        <v>3477000</v>
      </c>
      <c r="M95" s="326">
        <f t="shared" si="34"/>
        <v>0</v>
      </c>
      <c r="N95" s="326">
        <f t="shared" si="34"/>
        <v>0</v>
      </c>
      <c r="O95" s="326">
        <f t="shared" si="34"/>
        <v>0</v>
      </c>
      <c r="P95" s="339">
        <f t="shared" si="29"/>
        <v>9749825</v>
      </c>
      <c r="Q95" s="341"/>
      <c r="R95" s="341"/>
      <c r="S95" s="341"/>
      <c r="T95" s="341"/>
      <c r="U95" s="341"/>
    </row>
    <row r="96" spans="1:29">
      <c r="A96" s="436" t="s">
        <v>577</v>
      </c>
      <c r="B96" s="326">
        <f>IF(OR(B18="A",B18="C"),B90-B95,B90)</f>
        <v>6012278</v>
      </c>
      <c r="C96" s="326">
        <f t="shared" ref="C96:O96" si="35">IF(OR(C18="A",C18="C"),C90-C95,C90)</f>
        <v>5720309</v>
      </c>
      <c r="D96" s="326">
        <f t="shared" si="35"/>
        <v>8872500</v>
      </c>
      <c r="E96" s="326">
        <f t="shared" si="35"/>
        <v>9949701</v>
      </c>
      <c r="F96" s="326">
        <f t="shared" si="35"/>
        <v>11857534</v>
      </c>
      <c r="G96" s="326">
        <f t="shared" si="35"/>
        <v>23205000</v>
      </c>
      <c r="H96" s="326">
        <f t="shared" si="35"/>
        <v>71958953</v>
      </c>
      <c r="I96" s="326">
        <f t="shared" si="35"/>
        <v>62653500</v>
      </c>
      <c r="J96" s="326">
        <f t="shared" si="35"/>
        <v>35969000</v>
      </c>
      <c r="K96" s="326">
        <f t="shared" si="35"/>
        <v>10400000</v>
      </c>
      <c r="L96" s="326">
        <f t="shared" si="35"/>
        <v>86523000</v>
      </c>
      <c r="M96" s="326">
        <f t="shared" si="35"/>
        <v>7500000</v>
      </c>
      <c r="N96" s="326">
        <f t="shared" si="35"/>
        <v>9000000</v>
      </c>
      <c r="O96" s="326">
        <f t="shared" si="35"/>
        <v>4000000</v>
      </c>
      <c r="P96" s="339">
        <f t="shared" si="29"/>
        <v>353621775</v>
      </c>
      <c r="Q96" s="341"/>
      <c r="R96" s="341"/>
      <c r="S96" s="341"/>
      <c r="T96" s="341"/>
      <c r="U96" s="341"/>
    </row>
    <row r="97" spans="1:21">
      <c r="A97" s="436" t="s">
        <v>849</v>
      </c>
      <c r="B97" s="326">
        <f>MAX(B96-B20-B21,0)</f>
        <v>0</v>
      </c>
      <c r="C97" s="326">
        <f t="shared" ref="C97:O97" si="36">MAX(C96-C20-C21,0)</f>
        <v>0</v>
      </c>
      <c r="D97" s="326">
        <f t="shared" si="36"/>
        <v>0</v>
      </c>
      <c r="E97" s="326">
        <f t="shared" si="36"/>
        <v>9949701</v>
      </c>
      <c r="F97" s="326">
        <f t="shared" si="36"/>
        <v>11857534</v>
      </c>
      <c r="G97" s="326">
        <f t="shared" si="36"/>
        <v>14205000</v>
      </c>
      <c r="H97" s="326">
        <f t="shared" si="36"/>
        <v>71958953</v>
      </c>
      <c r="I97" s="326">
        <f t="shared" si="36"/>
        <v>62653500</v>
      </c>
      <c r="J97" s="326">
        <f t="shared" si="36"/>
        <v>26969000</v>
      </c>
      <c r="K97" s="326">
        <f t="shared" si="36"/>
        <v>1400000</v>
      </c>
      <c r="L97" s="326">
        <f t="shared" si="36"/>
        <v>77523000</v>
      </c>
      <c r="M97" s="326">
        <f t="shared" si="36"/>
        <v>0</v>
      </c>
      <c r="N97" s="326">
        <f t="shared" si="36"/>
        <v>0</v>
      </c>
      <c r="O97" s="326">
        <f t="shared" si="36"/>
        <v>4000000</v>
      </c>
      <c r="P97" s="339">
        <f t="shared" si="29"/>
        <v>280516688</v>
      </c>
      <c r="Q97" s="374"/>
      <c r="R97" s="374"/>
      <c r="S97" s="374"/>
      <c r="T97" s="374"/>
      <c r="U97" s="374"/>
    </row>
    <row r="98" spans="1:21">
      <c r="A98" s="436" t="s">
        <v>1233</v>
      </c>
      <c r="B98" s="326">
        <f>IF(OR(B18="A",B18="C"),ROUND(MAX(B97*{5;10;15;20;25;30;35}%-{0;0.25;0.75;1.65;3.25;5.85;9.85}*1000000,0),0),IF(B18="B",IF(B97&lt;2000000,0,ROUND(B97*10%,0)),ROUND(B97*20%,0)))</f>
        <v>0</v>
      </c>
      <c r="C98" s="326">
        <f>IF(OR(C18="A",C18="C"),ROUND(MAX(C97*{5;10;15;20;25;30;35}%-{0;0.25;0.75;1.65;3.25;5.85;9.85}*1000000,0),0),IF(C18="B",IF(C97&lt;2000000,0,ROUND(C97*10%,0)),ROUND(C97*20%,0)))</f>
        <v>0</v>
      </c>
      <c r="D98" s="326">
        <f>IF(OR(D18="A",D18="C"),ROUND(MAX(D97*{5;10;15;20;25;30;35}%-{0;0.25;0.75;1.65;3.25;5.85;9.85}*1000000,0),0),IF(D18="B",IF(D97&lt;2000000,0,ROUND(D97*10%,0)),ROUND(D97*20%,0)))</f>
        <v>0</v>
      </c>
      <c r="E98" s="326">
        <f>IF(OR(E18="A",E18="C"),ROUND(MAX(E97*{5;10;15;20;25;30;35}%-{0;0.25;0.75;1.65;3.25;5.85;9.85}*1000000,0),0),IF(E18="B",IF(E97&lt;2000000,0,ROUND(E97*10%,0)),ROUND(E97*20%,0)))</f>
        <v>994970</v>
      </c>
      <c r="F98" s="326">
        <f>IF(OR(F18="A",F18="C"),ROUND(MAX(F97*{5;10;15;20;25;30;35}%-{0;0.25;0.75;1.65;3.25;5.85;9.85}*1000000,0),0),IF(F18="B",IF(F97&lt;2000000,0,ROUND(F97*10%,0)),ROUND(F97*20%,0)))</f>
        <v>1185753</v>
      </c>
      <c r="G98" s="326">
        <f>IF(OR(G18="A",G18="C"),ROUND(MAX(G97*{5;10;15;20;25;30;35}%-{0;0.25;0.75;1.65;3.25;5.85;9.85}*1000000,0),0),IF(G18="B",IF(G97&lt;2000000,0,ROUND(G97*10%,0)),ROUND(G97*20%,0)))</f>
        <v>1380750</v>
      </c>
      <c r="H98" s="326">
        <f>IF(OR(H18="A",H18="C"),ROUND(MAX(H97*{5;10;15;20;25;30;35}%-{0;0.25;0.75;1.65;3.25;5.85;9.85}*1000000,0),0),IF(H18="B",IF(H97&lt;2000000,0,ROUND(H97*10%,0)),ROUND(H97*20%,0)))</f>
        <v>14391791</v>
      </c>
      <c r="I98" s="326">
        <f>IF(OR(I18="A",I18="C"),ROUND(MAX(I97*{5;10;15;20;25;30;35}%-{0;0.25;0.75;1.65;3.25;5.85;9.85}*1000000,0),0),IF(I18="B",IF(I97&lt;2000000,0,ROUND(I97*10%,0)),ROUND(I97*20%,0)))</f>
        <v>12530700</v>
      </c>
      <c r="J98" s="326">
        <f>IF(OR(J18="A",J18="C"),ROUND(MAX(J97*{5;10;15;20;25;30;35}%-{0;0.25;0.75;1.65;3.25;5.85;9.85}*1000000,0),0),IF(J18="B",IF(J97&lt;2000000,0,ROUND(J97*10%,0)),ROUND(J97*20%,0)))</f>
        <v>3743800</v>
      </c>
      <c r="K98" s="326">
        <f>IF(OR(K18="A",K18="C"),ROUND(MAX(K97*{5;10;15;20;25;30;35}%-{0;0.25;0.75;1.65;3.25;5.85;9.85}*1000000,0),0),IF(K18="B",IF(K97&lt;2000000,0,ROUND(K97*10%,0)),ROUND(K97*20%,0)))</f>
        <v>70000</v>
      </c>
      <c r="L98" s="326">
        <f>IF(OR(L18="A",L18="C"),ROUND(MAX(L97*{5;10;15;20;25;30;35}%-{0;0.25;0.75;1.65;3.25;5.85;9.85}*1000000,0),0),IF(L18="B",IF(L97&lt;2000000,0,ROUND(L97*10%,0)),ROUND(L97*20%,0)))</f>
        <v>17406900</v>
      </c>
      <c r="M98" s="326">
        <f>IF(OR(M18="A",M18="C"),ROUND(MAX(M97*{5;10;15;20;25;30;35}%-{0;0.25;0.75;1.65;3.25;5.85;9.85}*1000000,0),0),IF(M18="B",IF(M97&lt;2000000,0,ROUND(M97*10%,0)),ROUND(M97*20%,0)))</f>
        <v>0</v>
      </c>
      <c r="N98" s="326">
        <f>IF(OR(N18="A",N18="C"),ROUND(MAX(N97*{5;10;15;20;25;30;35}%-{0;0.25;0.75;1.65;3.25;5.85;9.85}*1000000,0),0),IF(N18="B",IF(N97&lt;2000000,0,ROUND(N97*10%,0)),ROUND(N97*20%,0)))</f>
        <v>0</v>
      </c>
      <c r="O98" s="326">
        <f>IF(OR(O18="A",O18="C"),ROUND(MAX(O97*{5;10;15;20;25;30;35}%-{0;0.25;0.75;1.65;3.25;5.85;9.85}*1000000,0),0),IF(O18="B",IF(O97&lt;2000000,0,ROUND(O97*10%,0)),ROUND(O97*20%,0)))</f>
        <v>400000</v>
      </c>
      <c r="P98" s="339">
        <f t="shared" si="29"/>
        <v>52104664</v>
      </c>
      <c r="Q98" s="341"/>
      <c r="R98" s="341"/>
      <c r="S98" s="341"/>
      <c r="T98" s="341"/>
      <c r="U98" s="341"/>
    </row>
    <row r="99" spans="1:21">
      <c r="A99" s="436" t="s">
        <v>862</v>
      </c>
      <c r="B99" s="326">
        <f>B90+'UAT3-Mar'!B109</f>
        <v>53779111</v>
      </c>
      <c r="C99" s="326">
        <f>C90+'UAT3-Mar'!C109</f>
        <v>45419935</v>
      </c>
      <c r="D99" s="326">
        <f>D90+'UAT3-Mar'!D109</f>
        <v>57921738</v>
      </c>
      <c r="E99" s="326">
        <f>E90+'UAT3-Mar'!E109</f>
        <v>123826202</v>
      </c>
      <c r="F99" s="326">
        <f>F90+'UAT3-Mar'!F109</f>
        <v>50257534</v>
      </c>
      <c r="G99" s="326">
        <f>G90+'UAT3-Mar'!G109</f>
        <v>227409000</v>
      </c>
      <c r="H99" s="326">
        <f>H90+'UAT3-Mar'!H109</f>
        <v>372708011</v>
      </c>
      <c r="I99" s="326">
        <f>I90+'UAT3-Mar'!I109</f>
        <v>377879552</v>
      </c>
      <c r="J99" s="326">
        <f>J90+'UAT3-Mar'!J109</f>
        <v>127173914</v>
      </c>
      <c r="K99" s="326">
        <f>K90+'UAT3-Mar'!K109</f>
        <v>41600000</v>
      </c>
      <c r="L99" s="326">
        <f>L90+'UAT3-Mar'!L109</f>
        <v>360000000</v>
      </c>
      <c r="M99" s="326">
        <f>M90+'UAT3-Mar'!M109</f>
        <v>30000000</v>
      </c>
      <c r="N99" s="326">
        <f>N90+'UAT3-Mar'!N109</f>
        <v>36000000</v>
      </c>
      <c r="O99" s="326">
        <f>O90+'UAT3-Mar'!O109</f>
        <v>14000000</v>
      </c>
      <c r="P99" s="339">
        <f t="shared" si="29"/>
        <v>1917974997</v>
      </c>
      <c r="Q99" s="341"/>
      <c r="R99" s="341"/>
      <c r="S99" s="341"/>
      <c r="T99" s="341"/>
      <c r="U99" s="341"/>
    </row>
    <row r="100" spans="1:21">
      <c r="A100" s="436" t="s">
        <v>486</v>
      </c>
      <c r="B100" s="326">
        <f>B98+'UAT3-Mar'!B110</f>
        <v>325093</v>
      </c>
      <c r="C100" s="326">
        <f>C98+'UAT3-Mar'!C110</f>
        <v>0</v>
      </c>
      <c r="D100" s="326">
        <f>D98+'UAT3-Mar'!D110</f>
        <v>678837</v>
      </c>
      <c r="E100" s="326">
        <f>E98+'UAT3-Mar'!E110</f>
        <v>12382621</v>
      </c>
      <c r="F100" s="326">
        <f>F98+'UAT3-Mar'!F110</f>
        <v>5025753</v>
      </c>
      <c r="G100" s="326">
        <f>G98+'UAT3-Mar'!G110</f>
        <v>49180400</v>
      </c>
      <c r="H100" s="326">
        <f>H98+'UAT3-Mar'!H110</f>
        <v>74541603</v>
      </c>
      <c r="I100" s="326">
        <f>I98+'UAT3-Mar'!I110</f>
        <v>75575910</v>
      </c>
      <c r="J100" s="326">
        <f>J98+'UAT3-Mar'!J110</f>
        <v>12251589</v>
      </c>
      <c r="K100" s="326">
        <f>K98+'UAT3-Mar'!K110</f>
        <v>280000</v>
      </c>
      <c r="L100" s="326">
        <f>L98+'UAT3-Mar'!L110</f>
        <v>69627600</v>
      </c>
      <c r="M100" s="326">
        <f>M98+'UAT3-Mar'!M110</f>
        <v>0</v>
      </c>
      <c r="N100" s="326">
        <f>N98+'UAT3-Mar'!N110</f>
        <v>0</v>
      </c>
      <c r="O100" s="326">
        <f>O98+'UAT3-Mar'!O110</f>
        <v>1400000</v>
      </c>
      <c r="P100" s="339">
        <f t="shared" si="29"/>
        <v>301269406</v>
      </c>
      <c r="Q100" s="341"/>
      <c r="R100" s="341"/>
      <c r="S100" s="341"/>
      <c r="T100" s="341"/>
      <c r="U100" s="341"/>
    </row>
    <row r="101" spans="1:21">
      <c r="A101" s="436" t="s">
        <v>487</v>
      </c>
      <c r="B101" s="326">
        <f>B95+'UAT3-Mar'!B111</f>
        <v>3465000</v>
      </c>
      <c r="C101" s="326">
        <f>C95+'UAT3-Mar'!C111</f>
        <v>2872800</v>
      </c>
      <c r="D101" s="326">
        <f>D95+'UAT3-Mar'!D111</f>
        <v>1085000</v>
      </c>
      <c r="E101" s="326">
        <f>E95+'UAT3-Mar'!E111</f>
        <v>3780000</v>
      </c>
      <c r="F101" s="326">
        <f>F95+'UAT3-Mar'!F111</f>
        <v>0</v>
      </c>
      <c r="G101" s="326">
        <f>G95+'UAT3-Mar'!G111</f>
        <v>0</v>
      </c>
      <c r="H101" s="326">
        <f>H95+'UAT3-Mar'!H111</f>
        <v>1668000</v>
      </c>
      <c r="I101" s="326">
        <f>I95+'UAT3-Mar'!I111</f>
        <v>1251000</v>
      </c>
      <c r="J101" s="326">
        <f>J95+'UAT3-Mar'!J111</f>
        <v>9093000</v>
      </c>
      <c r="K101" s="326">
        <f>K95+'UAT3-Mar'!K111</f>
        <v>0</v>
      </c>
      <c r="L101" s="326">
        <f>L95+'UAT3-Mar'!L111</f>
        <v>13908000</v>
      </c>
      <c r="M101" s="326">
        <f>M95+'UAT3-Mar'!M111</f>
        <v>0</v>
      </c>
      <c r="N101" s="326">
        <f>N95+'UAT3-Mar'!N111</f>
        <v>0</v>
      </c>
      <c r="O101" s="326">
        <f>O95+'UAT3-Mar'!O111</f>
        <v>0</v>
      </c>
      <c r="P101" s="339">
        <f t="shared" si="29"/>
        <v>37122800</v>
      </c>
      <c r="Q101" s="341"/>
      <c r="R101" s="341"/>
      <c r="S101" s="341"/>
      <c r="T101" s="341"/>
      <c r="U101" s="341"/>
    </row>
    <row r="102" spans="1:21">
      <c r="A102" s="436"/>
      <c r="B102" s="326"/>
      <c r="C102" s="326"/>
      <c r="D102" s="326"/>
      <c r="E102" s="326"/>
      <c r="F102" s="326"/>
      <c r="G102" s="326"/>
      <c r="H102" s="326"/>
      <c r="I102" s="326"/>
      <c r="J102" s="326"/>
      <c r="K102" s="326"/>
      <c r="L102" s="326"/>
      <c r="M102" s="326"/>
      <c r="N102" s="326"/>
      <c r="O102" s="326"/>
      <c r="P102" s="339">
        <f t="shared" si="29"/>
        <v>0</v>
      </c>
      <c r="Q102" s="341"/>
      <c r="R102" s="341"/>
      <c r="S102" s="341"/>
      <c r="T102" s="341"/>
      <c r="U102" s="341"/>
    </row>
    <row r="103" spans="1:21" ht="15.6">
      <c r="A103" s="404" t="s">
        <v>860</v>
      </c>
      <c r="B103" s="326"/>
      <c r="C103" s="326"/>
      <c r="D103" s="326"/>
      <c r="E103" s="326"/>
      <c r="F103" s="326"/>
      <c r="G103" s="326"/>
      <c r="H103" s="326"/>
      <c r="I103" s="326"/>
      <c r="J103" s="326"/>
      <c r="K103" s="326"/>
      <c r="L103" s="326"/>
      <c r="M103" s="326"/>
      <c r="N103" s="326"/>
      <c r="O103" s="326"/>
      <c r="P103" s="339">
        <f t="shared" si="29"/>
        <v>0</v>
      </c>
      <c r="Q103" s="341"/>
      <c r="R103" s="341"/>
      <c r="S103" s="341"/>
      <c r="T103" s="341"/>
      <c r="U103" s="341"/>
    </row>
    <row r="104" spans="1:21">
      <c r="A104" s="436" t="s">
        <v>857</v>
      </c>
      <c r="B104" s="326">
        <f t="shared" ref="B104:O104" si="37">B97-B98+SUM(B31:B34)</f>
        <v>26000000</v>
      </c>
      <c r="C104" s="326">
        <f t="shared" si="37"/>
        <v>0</v>
      </c>
      <c r="D104" s="326">
        <f t="shared" si="37"/>
        <v>0</v>
      </c>
      <c r="E104" s="326">
        <f t="shared" si="37"/>
        <v>34954731</v>
      </c>
      <c r="F104" s="326">
        <f t="shared" si="37"/>
        <v>10671781</v>
      </c>
      <c r="G104" s="326">
        <f t="shared" si="37"/>
        <v>12824250</v>
      </c>
      <c r="H104" s="326">
        <f t="shared" si="37"/>
        <v>57567162</v>
      </c>
      <c r="I104" s="326">
        <f t="shared" si="37"/>
        <v>76122800</v>
      </c>
      <c r="J104" s="326">
        <f t="shared" si="37"/>
        <v>23225200</v>
      </c>
      <c r="K104" s="326">
        <f t="shared" si="37"/>
        <v>27330000</v>
      </c>
      <c r="L104" s="326">
        <f t="shared" si="37"/>
        <v>60116100</v>
      </c>
      <c r="M104" s="326">
        <f t="shared" si="37"/>
        <v>0</v>
      </c>
      <c r="N104" s="326">
        <f t="shared" si="37"/>
        <v>0</v>
      </c>
      <c r="O104" s="326">
        <f t="shared" si="37"/>
        <v>3600000</v>
      </c>
      <c r="P104" s="339">
        <f t="shared" si="29"/>
        <v>332412024</v>
      </c>
      <c r="Q104" s="341"/>
      <c r="R104" s="341"/>
      <c r="S104" s="341"/>
      <c r="T104" s="341"/>
      <c r="U104" s="341"/>
    </row>
    <row r="105" spans="1:21">
      <c r="A105" s="436" t="s">
        <v>858</v>
      </c>
      <c r="B105" s="326">
        <f>IF(OR(B18="A",B18="C"),ROUND(MAX((B104-{0;0.25;0.75;1.65;3.25;5.85;9.85}*1000000)/(1-{5;10;15;20;25;30;35}%),0),0),IF(B18="B",B104/(1-10%),B104/(1-20%)))</f>
        <v>30437500</v>
      </c>
      <c r="C105" s="326">
        <f>IF(OR(C18="A",C18="C"),ROUND(MAX((C104-{0;0.25;0.75;1.65;3.25;5.85;9.85}*1000000)/(1-{5;10;15;20;25;30;35}%),0),0),IF(C18="B",C104/(1-10%),C104/(1-20%)))</f>
        <v>0</v>
      </c>
      <c r="D105" s="326">
        <f>IF(OR(D18="A",D18="C"),ROUND(MAX((D104-{0;0.25;0.75;1.65;3.25;5.85;9.85}*1000000)/(1-{5;10;15;20;25;30;35}%),0),0),IF(D18="B",D104/(1-10%),D104/(1-20%)))</f>
        <v>0</v>
      </c>
      <c r="E105" s="326">
        <f>IF(OR(E18="A",E18="C"),ROUND(MAX((E104-{0;0.25;0.75;1.65;3.25;5.85;9.85}*1000000)/(1-{5;10;15;20;25;30;35}%),0),0),IF(E18="B",E104/(1-10%),E104/(1-20%)))</f>
        <v>38838590</v>
      </c>
      <c r="F105" s="326">
        <f>IF(OR(F18="A",F18="C"),ROUND(MAX((F104-{0;0.25;0.75;1.65;3.25;5.85;9.85}*1000000)/(1-{5;10;15;20;25;30;35}%),0),0),IF(F18="B",F104/(1-10%),F104/(1-20%)))</f>
        <v>11857534.444444444</v>
      </c>
      <c r="G105" s="326">
        <f>IF(OR(G18="A",G18="C"),ROUND(MAX((G104-{0;0.25;0.75;1.65;3.25;5.85;9.85}*1000000)/(1-{5;10;15;20;25;30;35}%),0),0),IF(G18="B",G104/(1-10%),G104/(1-20%)))</f>
        <v>14205000</v>
      </c>
      <c r="H105" s="326">
        <f>IF(OR(H18="A",H18="C"),ROUND(MAX((H104-{0;0.25;0.75;1.65;3.25;5.85;9.85}*1000000)/(1-{5;10;15;20;25;30;35}%),0),0),IF(H18="B",H104/(1-10%),H104/(1-20%)))</f>
        <v>71958952.5</v>
      </c>
      <c r="I105" s="326">
        <f>IF(OR(I18="A",I18="C"),ROUND(MAX((I104-{0;0.25;0.75;1.65;3.25;5.85;9.85}*1000000)/(1-{5;10;15;20;25;30;35}%),0),0),IF(I18="B",I104/(1-10%),I104/(1-20%)))</f>
        <v>95153500</v>
      </c>
      <c r="J105" s="326">
        <f>IF(OR(J18="A",J18="C"),ROUND(MAX((J104-{0;0.25;0.75;1.65;3.25;5.85;9.85}*1000000)/(1-{5;10;15;20;25;30;35}%),0),0),IF(J18="B",J104/(1-10%),J104/(1-20%)))</f>
        <v>26969000</v>
      </c>
      <c r="K105" s="326">
        <f>IF(OR(K18="A",K18="C"),ROUND(MAX((K104-{0;0.25;0.75;1.65;3.25;5.85;9.85}*1000000)/(1-{5;10;15;20;25;30;35}%),0),0),IF(K18="B",K104/(1-10%),K104/(1-20%)))</f>
        <v>32106667</v>
      </c>
      <c r="L105" s="326">
        <f>IF(OR(L18="A",L18="C"),ROUND(MAX((L104-{0;0.25;0.75;1.65;3.25;5.85;9.85}*1000000)/(1-{5;10;15;20;25;30;35}%),0),0),IF(L18="B",L104/(1-10%),L104/(1-20%)))</f>
        <v>77523000</v>
      </c>
      <c r="M105" s="326">
        <f>IF(OR(M18="A",M18="C"),ROUND(MAX((M104-{0;0.25;0.75;1.65;3.25;5.85;9.85}*1000000)/(1-{5;10;15;20;25;30;35}%),0),0),IF(M18="B",M104/(1-10%),M104/(1-20%)))</f>
        <v>0</v>
      </c>
      <c r="N105" s="326">
        <f>IF(OR(N18="A",N18="C"),ROUND(MAX((N104-{0;0.25;0.75;1.65;3.25;5.85;9.85}*1000000)/(1-{5;10;15;20;25;30;35}%),0),0),IF(N18="B",N104/(1-10%),N104/(1-20%)))</f>
        <v>0</v>
      </c>
      <c r="O105" s="394">
        <f>IF(OR(O18="A",O18="C"),ROUND(MAX((O104-{0;0.25;0.75;1.65;3.25;5.85;9.85}*1000000)/(1-{5;10;15;20;25;30;35}%),0),0),IF(O18="B",O104/(1-10%),O104/(1-20%)))</f>
        <v>4000000</v>
      </c>
      <c r="P105" s="339">
        <f t="shared" si="29"/>
        <v>403049743.94444442</v>
      </c>
      <c r="Q105" s="341"/>
      <c r="R105" s="341"/>
      <c r="S105" s="341"/>
      <c r="T105" s="341"/>
      <c r="U105" s="341"/>
    </row>
    <row r="106" spans="1:21">
      <c r="A106" s="436" t="s">
        <v>859</v>
      </c>
      <c r="B106" s="326">
        <f>IF(OR(B18="A",B18="C"),IF(B105=0,0,B105+B95+B20+B21),B105)</f>
        <v>43720000</v>
      </c>
      <c r="C106" s="326">
        <f t="shared" ref="C106:O106" si="38">IF(OR(C18="A",C18="C"),IF(C105=0,0,C105+C95+C20+C21),C105)</f>
        <v>0</v>
      </c>
      <c r="D106" s="326">
        <f t="shared" si="38"/>
        <v>0</v>
      </c>
      <c r="E106" s="326">
        <f t="shared" si="38"/>
        <v>38838590</v>
      </c>
      <c r="F106" s="326">
        <f t="shared" si="38"/>
        <v>11857534.444444444</v>
      </c>
      <c r="G106" s="326">
        <f t="shared" si="38"/>
        <v>23205000</v>
      </c>
      <c r="H106" s="326">
        <f t="shared" si="38"/>
        <v>71958952.5</v>
      </c>
      <c r="I106" s="326">
        <f t="shared" si="38"/>
        <v>95153500</v>
      </c>
      <c r="J106" s="326">
        <f t="shared" si="38"/>
        <v>39000000</v>
      </c>
      <c r="K106" s="326">
        <f t="shared" si="38"/>
        <v>41106667</v>
      </c>
      <c r="L106" s="326">
        <f t="shared" si="38"/>
        <v>90000000</v>
      </c>
      <c r="M106" s="326">
        <f t="shared" si="38"/>
        <v>0</v>
      </c>
      <c r="N106" s="326">
        <f t="shared" si="38"/>
        <v>0</v>
      </c>
      <c r="O106" s="326">
        <f t="shared" si="38"/>
        <v>4000000</v>
      </c>
      <c r="P106" s="339">
        <f t="shared" si="29"/>
        <v>458840243.94444442</v>
      </c>
      <c r="Q106" s="341"/>
      <c r="R106" s="341"/>
      <c r="S106" s="341"/>
      <c r="T106" s="341"/>
      <c r="U106" s="341"/>
    </row>
    <row r="107" spans="1:21">
      <c r="A107" s="436" t="s">
        <v>1234</v>
      </c>
      <c r="B107" s="326">
        <f>IF(OR(B18="A",B18="C"),ROUND(MAX(B105*{5;10;15;20;25;30;35}%-{0;0.25;0.75;1.65;3.25;5.85;9.85}*1000000,0),0),IF(B18="B",IF(B105&lt;2000000,0,ROUND(B105*10%,0)),ROUND(B105*20%,0)))</f>
        <v>4437500</v>
      </c>
      <c r="C107" s="326">
        <f>IF(OR(C18="A",C18="C"),ROUND(MAX(C105*{5;10;15;20;25;30;35}%-{0;0.25;0.75;1.65;3.25;5.85;9.85}*1000000,0),0),IF(C18="B",IF(C105&lt;2000000,0,ROUND(C105*10%,0)),ROUND(C105*20%,0)))</f>
        <v>0</v>
      </c>
      <c r="D107" s="326">
        <f>IF(OR(D18="A",D18="C"),ROUND(MAX(D105*{5;10;15;20;25;30;35}%-{0;0.25;0.75;1.65;3.25;5.85;9.85}*1000000,0),0),IF(D18="B",IF(D105&lt;2000000,0,ROUND(D105*10%,0)),ROUND(D105*20%,0)))</f>
        <v>0</v>
      </c>
      <c r="E107" s="326">
        <f>IF(OR(E18="A",E18="C"),ROUND(MAX(E105*{5;10;15;20;25;30;35}%-{0;0.25;0.75;1.65;3.25;5.85;9.85}*1000000,0),0),IF(E18="B",IF(E105&lt;2000000,0,ROUND(E105*10%,0)),ROUND(E105*20%,0)))</f>
        <v>3883859</v>
      </c>
      <c r="F107" s="326">
        <f>IF(OR(F18="A",F18="C"),ROUND(MAX(F105*{5;10;15;20;25;30;35}%-{0;0.25;0.75;1.65;3.25;5.85;9.85}*1000000,0),0),IF(F18="B",IF(F105&lt;2000000,0,ROUND(F105*10%,0)),ROUND(F105*20%,0)))</f>
        <v>1185753</v>
      </c>
      <c r="G107" s="326">
        <f>IF(OR(G18="A",G18="C"),ROUND(MAX(G105*{5;10;15;20;25;30;35}%-{0;0.25;0.75;1.65;3.25;5.85;9.85}*1000000,0),0),IF(G18="B",IF(G105&lt;2000000,0,ROUND(G105*10%,0)),ROUND(G105*20%,0)))</f>
        <v>1380750</v>
      </c>
      <c r="H107" s="326">
        <f>IF(OR(H18="A",H18="C"),ROUND(MAX(H105*{5;10;15;20;25;30;35}%-{0;0.25;0.75;1.65;3.25;5.85;9.85}*1000000,0),0),IF(H18="B",IF(H105&lt;2000000,0,ROUND(H105*10%,0)),ROUND(H105*20%,0)))</f>
        <v>14391791</v>
      </c>
      <c r="I107" s="326">
        <f>IF(OR(I18="A",I18="C"),ROUND(MAX(I105*{5;10;15;20;25;30;35}%-{0;0.25;0.75;1.65;3.25;5.85;9.85}*1000000,0),0),IF(I18="B",IF(I105&lt;2000000,0,ROUND(I105*10%,0)),ROUND(I105*20%,0)))</f>
        <v>19030700</v>
      </c>
      <c r="J107" s="326">
        <f>IF(OR(J18="A",J18="C"),ROUND(MAX(J105*{5;10;15;20;25;30;35}%-{0;0.25;0.75;1.65;3.25;5.85;9.85}*1000000,0),0),IF(J18="B",IF(J105&lt;2000000,0,ROUND(J105*10%,0)),ROUND(J105*20%,0)))</f>
        <v>3743800</v>
      </c>
      <c r="K107" s="326">
        <f>IF(OR(K18="A",K18="C"),ROUND(MAX(K105*{5;10;15;20;25;30;35}%-{0;0.25;0.75;1.65;3.25;5.85;9.85}*1000000,0),0),IF(K18="B",IF(K105&lt;2000000,0,ROUND(K105*10%,0)),ROUND(K105*20%,0)))</f>
        <v>4776667</v>
      </c>
      <c r="L107" s="326">
        <f>IF(OR(L18="A",L18="C"),ROUND(MAX(L105*{5;10;15;20;25;30;35}%-{0;0.25;0.75;1.65;3.25;5.85;9.85}*1000000,0),0),IF(L18="B",IF(L105&lt;2000000,0,ROUND(L105*10%,0)),ROUND(L105*20%,0)))</f>
        <v>17406900</v>
      </c>
      <c r="M107" s="326">
        <f>IF(OR(M18="A",M18="C"),ROUND(MAX(M105*{5;10;15;20;25;30;35}%-{0;0.25;0.75;1.65;3.25;5.85;9.85}*1000000,0),0),IF(M18="B",IF(M105&lt;2000000,0,ROUND(M105*10%,0)),ROUND(M105*20%,0)))</f>
        <v>0</v>
      </c>
      <c r="N107" s="326">
        <f>IF(OR(N18="A",N18="C"),ROUND(MAX(N105*{5;10;15;20;25;30;35}%-{0;0.25;0.75;1.65;3.25;5.85;9.85}*1000000,0),0),IF(N18="B",IF(N105&lt;2000000,0,ROUND(N105*10%,0)),ROUND(N105*20%,0)))</f>
        <v>0</v>
      </c>
      <c r="O107" s="394">
        <f>IF(OR(O18="A",O18="C"),ROUND(MAX(O105*{5;10;15;20;25;30;35}%-{0;0.25;0.75;1.65;3.25;5.85;9.85}*1000000,0),0),IF(O18="B",IF(O105&lt;2000000,0,ROUND(O105*10%,0)),ROUND(O105*20%,0)))</f>
        <v>400000</v>
      </c>
      <c r="P107" s="339">
        <f t="shared" si="29"/>
        <v>70637720</v>
      </c>
      <c r="Q107" s="341"/>
      <c r="R107" s="341"/>
      <c r="S107" s="341"/>
      <c r="T107" s="341"/>
      <c r="U107" s="341"/>
    </row>
    <row r="108" spans="1:21">
      <c r="A108" s="436" t="s">
        <v>1235</v>
      </c>
      <c r="B108" s="326">
        <f t="shared" ref="B108:O108" si="39">B107-B98</f>
        <v>4437500</v>
      </c>
      <c r="C108" s="326">
        <f t="shared" si="39"/>
        <v>0</v>
      </c>
      <c r="D108" s="326">
        <f t="shared" si="39"/>
        <v>0</v>
      </c>
      <c r="E108" s="326">
        <f t="shared" si="39"/>
        <v>2888889</v>
      </c>
      <c r="F108" s="326">
        <f t="shared" si="39"/>
        <v>0</v>
      </c>
      <c r="G108" s="326">
        <f t="shared" si="39"/>
        <v>0</v>
      </c>
      <c r="H108" s="326">
        <f t="shared" si="39"/>
        <v>0</v>
      </c>
      <c r="I108" s="326">
        <f t="shared" si="39"/>
        <v>6500000</v>
      </c>
      <c r="J108" s="326">
        <f t="shared" si="39"/>
        <v>0</v>
      </c>
      <c r="K108" s="326">
        <f t="shared" si="39"/>
        <v>4706667</v>
      </c>
      <c r="L108" s="326">
        <f t="shared" si="39"/>
        <v>0</v>
      </c>
      <c r="M108" s="326">
        <f t="shared" si="39"/>
        <v>0</v>
      </c>
      <c r="N108" s="326">
        <f t="shared" si="39"/>
        <v>0</v>
      </c>
      <c r="O108" s="394">
        <f t="shared" si="39"/>
        <v>0</v>
      </c>
      <c r="P108" s="339">
        <f t="shared" si="29"/>
        <v>18533056</v>
      </c>
      <c r="Q108" s="341"/>
      <c r="R108" s="341"/>
      <c r="S108" s="341"/>
      <c r="T108" s="341"/>
      <c r="U108" s="341"/>
    </row>
    <row r="109" spans="1:21">
      <c r="A109" s="436"/>
      <c r="B109" s="326"/>
      <c r="C109" s="326"/>
      <c r="D109" s="326"/>
      <c r="E109" s="326"/>
      <c r="F109" s="326"/>
      <c r="G109" s="326"/>
      <c r="H109" s="326"/>
      <c r="I109" s="326"/>
      <c r="J109" s="326"/>
      <c r="K109" s="326"/>
      <c r="L109" s="326"/>
      <c r="M109" s="326"/>
      <c r="N109" s="326"/>
      <c r="O109" s="394"/>
      <c r="P109" s="339">
        <f t="shared" si="29"/>
        <v>0</v>
      </c>
      <c r="Q109" s="341"/>
      <c r="R109" s="341"/>
      <c r="S109" s="341"/>
      <c r="T109" s="341"/>
      <c r="U109" s="341"/>
    </row>
    <row r="110" spans="1:21" ht="15.6">
      <c r="A110" s="404" t="s">
        <v>1247</v>
      </c>
      <c r="B110" s="326"/>
      <c r="C110" s="326"/>
      <c r="D110" s="326"/>
      <c r="E110" s="326"/>
      <c r="F110" s="326"/>
      <c r="G110" s="326"/>
      <c r="H110" s="326"/>
      <c r="I110" s="326"/>
      <c r="J110" s="326"/>
      <c r="K110" s="326"/>
      <c r="L110" s="326"/>
      <c r="M110" s="326"/>
      <c r="N110" s="326"/>
      <c r="O110" s="394"/>
      <c r="P110" s="339">
        <f t="shared" si="29"/>
        <v>0</v>
      </c>
      <c r="Q110" s="341"/>
      <c r="R110" s="341"/>
      <c r="S110" s="341"/>
      <c r="T110" s="341"/>
      <c r="U110" s="341"/>
    </row>
    <row r="111" spans="1:21">
      <c r="A111" s="436" t="s">
        <v>857</v>
      </c>
      <c r="B111" s="326">
        <f t="shared" ref="B111:O111" si="40">B105-B107+B30</f>
        <v>26000000</v>
      </c>
      <c r="C111" s="326">
        <f t="shared" si="40"/>
        <v>0</v>
      </c>
      <c r="D111" s="326">
        <f t="shared" si="40"/>
        <v>0</v>
      </c>
      <c r="E111" s="326">
        <f t="shared" si="40"/>
        <v>34954731</v>
      </c>
      <c r="F111" s="326">
        <f t="shared" si="40"/>
        <v>10671781.444444444</v>
      </c>
      <c r="G111" s="326">
        <f t="shared" si="40"/>
        <v>12824250</v>
      </c>
      <c r="H111" s="326">
        <f t="shared" si="40"/>
        <v>57567161.5</v>
      </c>
      <c r="I111" s="326">
        <f t="shared" si="40"/>
        <v>79603550</v>
      </c>
      <c r="J111" s="326">
        <f t="shared" si="40"/>
        <v>23225200</v>
      </c>
      <c r="K111" s="326">
        <f t="shared" si="40"/>
        <v>31330000</v>
      </c>
      <c r="L111" s="326">
        <f t="shared" si="40"/>
        <v>60116100</v>
      </c>
      <c r="M111" s="326">
        <f t="shared" si="40"/>
        <v>0</v>
      </c>
      <c r="N111" s="326">
        <f t="shared" si="40"/>
        <v>0</v>
      </c>
      <c r="O111" s="394">
        <f t="shared" si="40"/>
        <v>3600000</v>
      </c>
      <c r="P111" s="339">
        <f t="shared" si="29"/>
        <v>339892773.94444442</v>
      </c>
      <c r="Q111" s="341"/>
      <c r="R111" s="341"/>
      <c r="S111" s="341"/>
      <c r="T111" s="341"/>
      <c r="U111" s="341"/>
    </row>
    <row r="112" spans="1:21">
      <c r="A112" s="436" t="s">
        <v>858</v>
      </c>
      <c r="B112" s="326">
        <f>IF(OR(B18="A",B18="C"),ROUND(MAX((B111-{0;0.25;0.75;1.65;3.25;5.85;9.85}*1000000)/(1-{5;10;15;20;25;30;35}%),0),0),IF(B18="B",B111/(1-10%),B111/(1-20%)))</f>
        <v>30437500</v>
      </c>
      <c r="C112" s="326">
        <f>IF(OR(C18="A",C18="C"),ROUND(MAX((C111-{0;0.25;0.75;1.65;3.25;5.85;9.85}*1000000)/(1-{5;10;15;20;25;30;35}%),0),0),IF(C18="B",C111/(1-10%),C111/(1-20%)))</f>
        <v>0</v>
      </c>
      <c r="D112" s="326">
        <f>IF(OR(D18="A",D18="C"),ROUND(MAX((D111-{0;0.25;0.75;1.65;3.25;5.85;9.85}*1000000)/(1-{5;10;15;20;25;30;35}%),0),0),IF(D18="B",D111/(1-10%),D111/(1-20%)))</f>
        <v>0</v>
      </c>
      <c r="E112" s="326">
        <f>IF(OR(E18="A",E18="C"),ROUND(MAX((E111-{0;0.25;0.75;1.65;3.25;5.85;9.85}*1000000)/(1-{5;10;15;20;25;30;35}%),0),0),IF(E18="B",E111/(1-10%),E111/(1-20%)))</f>
        <v>38838590</v>
      </c>
      <c r="F112" s="326">
        <f>IF(OR(F18="A",F18="C"),ROUND(MAX((F111-{0;0.25;0.75;1.65;3.25;5.85;9.85}*1000000)/(1-{5;10;15;20;25;30;35}%),0),0),IF(F18="B",F111/(1-10%),F111/(1-20%)))</f>
        <v>11857534.938271604</v>
      </c>
      <c r="G112" s="326">
        <f>IF(OR(G18="A",G18="C"),ROUND(MAX((G111-{0;0.25;0.75;1.65;3.25;5.85;9.85}*1000000)/(1-{5;10;15;20;25;30;35}%),0),0),IF(G18="B",G111/(1-10%),G111/(1-20%)))</f>
        <v>14205000</v>
      </c>
      <c r="H112" s="326">
        <f>IF(OR(H18="A",H18="C"),ROUND(MAX((H111-{0;0.25;0.75;1.65;3.25;5.85;9.85}*1000000)/(1-{5;10;15;20;25;30;35}%),0),0),IF(H18="B",H111/(1-10%),H111/(1-20%)))</f>
        <v>71958951.875</v>
      </c>
      <c r="I112" s="326">
        <f>IF(OR(I18="A",I18="C"),ROUND(MAX((I111-{0;0.25;0.75;1.65;3.25;5.85;9.85}*1000000)/(1-{5;10;15;20;25;30;35}%),0),0),IF(I18="B",I111/(1-10%),I111/(1-20%)))</f>
        <v>99504437.5</v>
      </c>
      <c r="J112" s="326">
        <f>IF(OR(J18="A",J18="C"),ROUND(MAX((J111-{0;0.25;0.75;1.65;3.25;5.85;9.85}*1000000)/(1-{5;10;15;20;25;30;35}%),0),0),IF(J18="B",J111/(1-10%),J111/(1-20%)))</f>
        <v>26969000</v>
      </c>
      <c r="K112" s="326">
        <f>IF(OR(K18="A",K18="C"),ROUND(MAX((K111-{0;0.25;0.75;1.65;3.25;5.85;9.85}*1000000)/(1-{5;10;15;20;25;30;35}%),0),0),IF(K18="B",K111/(1-10%),K111/(1-20%)))</f>
        <v>37440000</v>
      </c>
      <c r="L112" s="326">
        <f>IF(OR(L18="A",L18="C"),ROUND(MAX((L111-{0;0.25;0.75;1.65;3.25;5.85;9.85}*1000000)/(1-{5;10;15;20;25;30;35}%),0),0),IF(L18="B",L111/(1-10%),L111/(1-20%)))</f>
        <v>77523000</v>
      </c>
      <c r="M112" s="326">
        <f>IF(OR(M18="A",M18="C"),ROUND(MAX((M111-{0;0.25;0.75;1.65;3.25;5.85;9.85}*1000000)/(1-{5;10;15;20;25;30;35}%),0),0),IF(M18="B",M111/(1-10%),M111/(1-20%)))</f>
        <v>0</v>
      </c>
      <c r="N112" s="326">
        <f>IF(OR(N18="A",N18="C"),ROUND(MAX((N111-{0;0.25;0.75;1.65;3.25;5.85;9.85}*1000000)/(1-{5;10;15;20;25;30;35}%),0),0),IF(N18="B",N111/(1-10%),N111/(1-20%)))</f>
        <v>0</v>
      </c>
      <c r="O112" s="394">
        <f>IF(OR(O18="A",O18="C"),ROUND(MAX((O111-{0;0.25;0.75;1.65;3.25;5.85;9.85}*1000000)/(1-{5;10;15;20;25;30;35}%),0),0),IF(O18="B",O111/(1-10%),O111/(1-20%)))</f>
        <v>4000000</v>
      </c>
      <c r="P112" s="339">
        <f t="shared" si="29"/>
        <v>412734014.31327164</v>
      </c>
      <c r="Q112" s="341"/>
      <c r="R112" s="341"/>
      <c r="S112" s="341"/>
      <c r="T112" s="341"/>
      <c r="U112" s="341"/>
    </row>
    <row r="113" spans="1:21">
      <c r="A113" s="436" t="s">
        <v>859</v>
      </c>
      <c r="B113" s="326">
        <f t="shared" ref="B113:O113" si="41">IF(OR(B18="A",B18="C"),IF(B112=0,0,B112+B95+B19*B20+B21),B112)</f>
        <v>43720000</v>
      </c>
      <c r="C113" s="326">
        <f t="shared" si="41"/>
        <v>0</v>
      </c>
      <c r="D113" s="326">
        <f t="shared" si="41"/>
        <v>0</v>
      </c>
      <c r="E113" s="326">
        <f t="shared" si="41"/>
        <v>38838590</v>
      </c>
      <c r="F113" s="326">
        <f t="shared" si="41"/>
        <v>11857534.938271604</v>
      </c>
      <c r="G113" s="326">
        <f t="shared" si="41"/>
        <v>23205000</v>
      </c>
      <c r="H113" s="326">
        <f t="shared" si="41"/>
        <v>71958951.875</v>
      </c>
      <c r="I113" s="326">
        <f t="shared" si="41"/>
        <v>99504437.5</v>
      </c>
      <c r="J113" s="326">
        <f t="shared" si="41"/>
        <v>39000000</v>
      </c>
      <c r="K113" s="326">
        <f t="shared" si="41"/>
        <v>46440000</v>
      </c>
      <c r="L113" s="326">
        <f t="shared" si="41"/>
        <v>90000000</v>
      </c>
      <c r="M113" s="326">
        <f t="shared" si="41"/>
        <v>0</v>
      </c>
      <c r="N113" s="326">
        <f t="shared" si="41"/>
        <v>0</v>
      </c>
      <c r="O113" s="326">
        <f t="shared" si="41"/>
        <v>4000000</v>
      </c>
      <c r="P113" s="339">
        <f t="shared" si="29"/>
        <v>468524514.31327164</v>
      </c>
      <c r="Q113" s="341"/>
      <c r="R113" s="341"/>
      <c r="S113" s="341"/>
      <c r="T113" s="341"/>
      <c r="U113" s="341"/>
    </row>
    <row r="114" spans="1:21">
      <c r="A114" s="436" t="s">
        <v>485</v>
      </c>
      <c r="B114" s="326">
        <f>IF(OR(B18="A",B18="C"),ROUND(MAX(B112*{5;10;15;20;25;30;35}%-{0;0.25;0.75;1.65;3.25;5.85;9.85}*1000000,0),0),IF(B18="B",IF(B112&lt;2000000,0,ROUND(B112*10%,0)),ROUND(B112*20%,0)))</f>
        <v>4437500</v>
      </c>
      <c r="C114" s="326">
        <f>IF(OR(C18="A",C18="C"),ROUND(MAX(C112*{5;10;15;20;25;30;35}%-{0;0.25;0.75;1.65;3.25;5.85;9.85}*1000000,0),0),IF(C18="B",IF(C112&lt;2000000,0,ROUND(C112*10%,0)),ROUND(C112*20%,0)))</f>
        <v>0</v>
      </c>
      <c r="D114" s="326">
        <f>IF(OR(D18="A",D18="C"),ROUND(MAX(D112*{5;10;15;20;25;30;35}%-{0;0.25;0.75;1.65;3.25;5.85;9.85}*1000000,0),0),IF(D18="B",IF(D112&lt;2000000,0,ROUND(D112*10%,0)),ROUND(D112*20%,0)))</f>
        <v>0</v>
      </c>
      <c r="E114" s="326">
        <f>IF(OR(E18="A",E18="C"),ROUND(MAX(E112*{5;10;15;20;25;30;35}%-{0;0.25;0.75;1.65;3.25;5.85;9.85}*1000000,0),0),IF(E18="B",IF(E112&lt;2000000,0,ROUND(E112*10%,0)),ROUND(E112*20%,0)))</f>
        <v>3883859</v>
      </c>
      <c r="F114" s="326">
        <f>IF(OR(F18="A",F18="C"),ROUND(MAX(F112*{5;10;15;20;25;30;35}%-{0;0.25;0.75;1.65;3.25;5.85;9.85}*1000000,0),0),IF(F18="B",IF(F112&lt;2000000,0,ROUND(F112*10%,0)),ROUND(F112*20%,0)))</f>
        <v>1185753</v>
      </c>
      <c r="G114" s="326">
        <f>IF(OR(G18="A",G18="C"),ROUND(MAX(G112*{5;10;15;20;25;30;35}%-{0;0.25;0.75;1.65;3.25;5.85;9.85}*1000000,0),0),IF(G18="B",IF(G112&lt;2000000,0,ROUND(G112*10%,0)),ROUND(G112*20%,0)))</f>
        <v>1380750</v>
      </c>
      <c r="H114" s="326">
        <f>IF(OR(H18="A",H18="C"),ROUND(MAX(H112*{5;10;15;20;25;30;35}%-{0;0.25;0.75;1.65;3.25;5.85;9.85}*1000000,0),0),IF(H18="B",IF(H112&lt;2000000,0,ROUND(H112*10%,0)),ROUND(H112*20%,0)))</f>
        <v>14391790</v>
      </c>
      <c r="I114" s="326">
        <f>IF(OR(I18="A",I18="C"),ROUND(MAX(I112*{5;10;15;20;25;30;35}%-{0;0.25;0.75;1.65;3.25;5.85;9.85}*1000000,0),0),IF(I18="B",IF(I112&lt;2000000,0,ROUND(I112*10%,0)),ROUND(I112*20%,0)))</f>
        <v>19900888</v>
      </c>
      <c r="J114" s="326">
        <f>IF(OR(J18="A",J18="C"),ROUND(MAX(J112*{5;10;15;20;25;30;35}%-{0;0.25;0.75;1.65;3.25;5.85;9.85}*1000000,0),0),IF(J18="B",IF(J112&lt;2000000,0,ROUND(J112*10%,0)),ROUND(J112*20%,0)))</f>
        <v>3743800</v>
      </c>
      <c r="K114" s="326">
        <f>IF(OR(K18="A",K18="C"),ROUND(MAX(K112*{5;10;15;20;25;30;35}%-{0;0.25;0.75;1.65;3.25;5.85;9.85}*1000000,0),0),IF(K18="B",IF(K112&lt;2000000,0,ROUND(K112*10%,0)),ROUND(K112*20%,0)))</f>
        <v>6110000</v>
      </c>
      <c r="L114" s="326">
        <f>IF(OR(L18="A",L18="C"),ROUND(MAX(L112*{5;10;15;20;25;30;35}%-{0;0.25;0.75;1.65;3.25;5.85;9.85}*1000000,0),0),IF(L18="B",IF(L112&lt;2000000,0,ROUND(L112*10%,0)),ROUND(L112*20%,0)))</f>
        <v>17406900</v>
      </c>
      <c r="M114" s="326">
        <f>IF(OR(M18="A",M18="C"),ROUND(MAX(M112*{5;10;15;20;25;30;35}%-{0;0.25;0.75;1.65;3.25;5.85;9.85}*1000000,0),0),IF(M18="B",IF(M112&lt;2000000,0,ROUND(M112*10%,0)),ROUND(M112*20%,0)))</f>
        <v>0</v>
      </c>
      <c r="N114" s="326">
        <f>IF(OR(N18="A",N18="C"),ROUND(MAX(N112*{5;10;15;20;25;30;35}%-{0;0.25;0.75;1.65;3.25;5.85;9.85}*1000000,0),0),IF(N18="B",IF(N112&lt;2000000,0,ROUND(N112*10%,0)),ROUND(N112*20%,0)))</f>
        <v>0</v>
      </c>
      <c r="O114" s="394">
        <f>IF(OR(O18="A",O18="C"),ROUND(MAX(O112*{5;10;15;20;25;30;35}%-{0;0.25;0.75;1.65;3.25;5.85;9.85}*1000000,0),0),IF(O18="B",IF(O112&lt;2000000,0,ROUND(O112*10%,0)),ROUND(O112*20%,0)))</f>
        <v>400000</v>
      </c>
      <c r="P114" s="339">
        <f t="shared" si="29"/>
        <v>72841240</v>
      </c>
      <c r="Q114" s="341"/>
      <c r="R114" s="341"/>
      <c r="S114" s="341"/>
      <c r="T114" s="341"/>
      <c r="U114" s="341"/>
    </row>
    <row r="115" spans="1:21">
      <c r="A115" s="436" t="s">
        <v>850</v>
      </c>
      <c r="B115" s="326">
        <f t="shared" ref="B115:O115" si="42">B114-B98-B108</f>
        <v>0</v>
      </c>
      <c r="C115" s="326">
        <f t="shared" si="42"/>
        <v>0</v>
      </c>
      <c r="D115" s="326">
        <f t="shared" si="42"/>
        <v>0</v>
      </c>
      <c r="E115" s="326">
        <f t="shared" si="42"/>
        <v>0</v>
      </c>
      <c r="F115" s="326">
        <f t="shared" si="42"/>
        <v>0</v>
      </c>
      <c r="G115" s="326">
        <f t="shared" si="42"/>
        <v>0</v>
      </c>
      <c r="H115" s="326">
        <f t="shared" si="42"/>
        <v>-1</v>
      </c>
      <c r="I115" s="326">
        <f t="shared" si="42"/>
        <v>870188</v>
      </c>
      <c r="J115" s="326">
        <f t="shared" si="42"/>
        <v>0</v>
      </c>
      <c r="K115" s="326">
        <f t="shared" si="42"/>
        <v>1333333</v>
      </c>
      <c r="L115" s="326">
        <f t="shared" si="42"/>
        <v>0</v>
      </c>
      <c r="M115" s="326">
        <f t="shared" si="42"/>
        <v>0</v>
      </c>
      <c r="N115" s="326">
        <f t="shared" si="42"/>
        <v>0</v>
      </c>
      <c r="O115" s="394">
        <f t="shared" si="42"/>
        <v>0</v>
      </c>
      <c r="P115" s="339">
        <f t="shared" si="29"/>
        <v>2203520</v>
      </c>
    </row>
    <row r="116" spans="1:21">
      <c r="A116" s="405"/>
      <c r="B116" s="14"/>
      <c r="C116" s="7"/>
      <c r="D116" s="7"/>
      <c r="E116" s="316"/>
      <c r="F116" s="7"/>
      <c r="G116" s="7"/>
      <c r="H116" s="7"/>
      <c r="I116" s="7"/>
      <c r="J116" s="7"/>
      <c r="K116" s="316"/>
      <c r="L116" s="316"/>
      <c r="M116" s="316"/>
      <c r="N116" s="316"/>
      <c r="O116" s="375"/>
      <c r="P116" s="339">
        <f t="shared" si="29"/>
        <v>0</v>
      </c>
    </row>
    <row r="117" spans="1:21" ht="15.6">
      <c r="A117" s="404" t="s">
        <v>775</v>
      </c>
      <c r="B117" s="14"/>
      <c r="C117" s="7"/>
      <c r="D117" s="7"/>
      <c r="E117" s="316"/>
      <c r="F117" s="7"/>
      <c r="G117" s="7"/>
      <c r="H117" s="7"/>
      <c r="I117" s="7"/>
      <c r="J117" s="7"/>
      <c r="K117" s="316"/>
      <c r="L117" s="316"/>
      <c r="M117" s="316"/>
      <c r="N117" s="316"/>
      <c r="O117" s="375"/>
      <c r="P117" s="339">
        <f t="shared" si="29"/>
        <v>0</v>
      </c>
    </row>
    <row r="118" spans="1:21">
      <c r="A118" s="436" t="s">
        <v>431</v>
      </c>
      <c r="B118" s="531">
        <f>'UAT3-Mar'!B114</f>
        <v>160</v>
      </c>
      <c r="C118" s="531">
        <f>'UAT3-Mar'!C114</f>
        <v>144</v>
      </c>
      <c r="D118" s="531">
        <f>'UAT3-Mar'!D114</f>
        <v>156.93</v>
      </c>
      <c r="E118" s="531">
        <f>'UAT3-Mar'!E114</f>
        <v>160</v>
      </c>
      <c r="F118" s="531">
        <f>'UAT3-Mar'!F114</f>
        <v>128</v>
      </c>
      <c r="G118" s="531">
        <f>'UAT3-Mar'!G114</f>
        <v>0</v>
      </c>
      <c r="H118" s="531">
        <f>'UAT3-Mar'!H114</f>
        <v>80</v>
      </c>
      <c r="I118" s="531">
        <f>'UAT3-Mar'!I114</f>
        <v>0</v>
      </c>
      <c r="J118" s="531">
        <f>'UAT3-Mar'!J114</f>
        <v>88.64</v>
      </c>
      <c r="K118" s="531">
        <f>'UAT3-Mar'!K114</f>
        <v>160</v>
      </c>
      <c r="L118" s="531">
        <f>'UAT3-Mar'!L114</f>
        <v>160</v>
      </c>
      <c r="M118" s="531">
        <f>'UAT3-Mar'!M114</f>
        <v>160</v>
      </c>
      <c r="N118" s="531">
        <f>'UAT3-Mar'!N114</f>
        <v>160</v>
      </c>
      <c r="O118" s="532">
        <f>'UAT3-Mar'!O114</f>
        <v>0</v>
      </c>
      <c r="P118" s="339">
        <f t="shared" si="29"/>
        <v>1557.5700000000002</v>
      </c>
    </row>
    <row r="119" spans="1:21">
      <c r="A119" s="436" t="s">
        <v>432</v>
      </c>
      <c r="B119" s="531">
        <f>'UAT3-Mar'!B115</f>
        <v>80</v>
      </c>
      <c r="C119" s="531">
        <f>'UAT3-Mar'!C115</f>
        <v>72</v>
      </c>
      <c r="D119" s="531">
        <f>'UAT3-Mar'!D115</f>
        <v>78.47</v>
      </c>
      <c r="E119" s="531">
        <f>'UAT3-Mar'!E115</f>
        <v>80</v>
      </c>
      <c r="F119" s="531">
        <f>'UAT3-Mar'!F115</f>
        <v>64</v>
      </c>
      <c r="G119" s="531">
        <f>'UAT3-Mar'!G115</f>
        <v>0</v>
      </c>
      <c r="H119" s="531">
        <f>'UAT3-Mar'!H115</f>
        <v>40</v>
      </c>
      <c r="I119" s="531">
        <f>'UAT3-Mar'!I115</f>
        <v>0</v>
      </c>
      <c r="J119" s="531">
        <f>'UAT3-Mar'!J115</f>
        <v>44.32</v>
      </c>
      <c r="K119" s="531">
        <f>'UAT3-Mar'!K115</f>
        <v>80</v>
      </c>
      <c r="L119" s="531">
        <f>'UAT3-Mar'!L115</f>
        <v>80</v>
      </c>
      <c r="M119" s="531">
        <f>'UAT3-Mar'!M115</f>
        <v>80</v>
      </c>
      <c r="N119" s="531">
        <f>'UAT3-Mar'!N115</f>
        <v>80</v>
      </c>
      <c r="O119" s="532">
        <f>'UAT3-Mar'!O115</f>
        <v>0</v>
      </c>
      <c r="P119" s="339">
        <f t="shared" si="29"/>
        <v>778.79</v>
      </c>
    </row>
    <row r="120" spans="1:21">
      <c r="A120" s="436" t="s">
        <v>433</v>
      </c>
      <c r="B120" s="531">
        <f>'UAT3-Mar'!B116</f>
        <v>0</v>
      </c>
      <c r="C120" s="531">
        <f>'UAT3-Mar'!C116</f>
        <v>0</v>
      </c>
      <c r="D120" s="531">
        <f>'UAT3-Mar'!D116</f>
        <v>0</v>
      </c>
      <c r="E120" s="531">
        <f>'UAT3-Mar'!E116</f>
        <v>0</v>
      </c>
      <c r="F120" s="531">
        <f>'UAT3-Mar'!F116</f>
        <v>0</v>
      </c>
      <c r="G120" s="531">
        <f>'UAT3-Mar'!G116</f>
        <v>0</v>
      </c>
      <c r="H120" s="531">
        <f>'UAT3-Mar'!H116</f>
        <v>0</v>
      </c>
      <c r="I120" s="531">
        <f>'UAT3-Mar'!I116</f>
        <v>0</v>
      </c>
      <c r="J120" s="531">
        <f>'UAT3-Mar'!J116</f>
        <v>0</v>
      </c>
      <c r="K120" s="531">
        <f>'UAT3-Mar'!K116</f>
        <v>0</v>
      </c>
      <c r="L120" s="531">
        <f>'UAT3-Mar'!L116</f>
        <v>0</v>
      </c>
      <c r="M120" s="531">
        <f>'UAT3-Mar'!M116</f>
        <v>0</v>
      </c>
      <c r="N120" s="531">
        <f>'UAT3-Mar'!N116</f>
        <v>0</v>
      </c>
      <c r="O120" s="532">
        <f>'UAT3-Mar'!O116</f>
        <v>0</v>
      </c>
      <c r="P120" s="339">
        <f t="shared" si="29"/>
        <v>0</v>
      </c>
    </row>
    <row r="121" spans="1:21">
      <c r="A121" s="436" t="s">
        <v>434</v>
      </c>
      <c r="B121" s="531">
        <f>'UAT3-Mar'!B117</f>
        <v>0</v>
      </c>
      <c r="C121" s="531">
        <f>'UAT3-Mar'!C117</f>
        <v>0</v>
      </c>
      <c r="D121" s="531">
        <f>'UAT3-Mar'!D117</f>
        <v>0</v>
      </c>
      <c r="E121" s="531">
        <f>'UAT3-Mar'!E117</f>
        <v>0</v>
      </c>
      <c r="F121" s="531">
        <f>'UAT3-Mar'!F117</f>
        <v>0</v>
      </c>
      <c r="G121" s="531">
        <f>'UAT3-Mar'!G117</f>
        <v>0</v>
      </c>
      <c r="H121" s="531">
        <f>'UAT3-Mar'!H117</f>
        <v>0</v>
      </c>
      <c r="I121" s="531">
        <f>'UAT3-Mar'!I117</f>
        <v>0</v>
      </c>
      <c r="J121" s="531">
        <f>'UAT3-Mar'!J117</f>
        <v>0</v>
      </c>
      <c r="K121" s="531">
        <f>'UAT3-Mar'!K117</f>
        <v>0</v>
      </c>
      <c r="L121" s="531">
        <f>'UAT3-Mar'!L117</f>
        <v>0</v>
      </c>
      <c r="M121" s="531">
        <f>'UAT3-Mar'!M117</f>
        <v>0</v>
      </c>
      <c r="N121" s="531">
        <f>'UAT3-Mar'!N117</f>
        <v>0</v>
      </c>
      <c r="O121" s="532">
        <f>'UAT3-Mar'!O117</f>
        <v>0</v>
      </c>
      <c r="P121" s="339">
        <f t="shared" si="29"/>
        <v>0</v>
      </c>
    </row>
    <row r="122" spans="1:21">
      <c r="A122" s="436" t="s">
        <v>435</v>
      </c>
      <c r="B122" s="531">
        <f>'UAT3-Mar'!B118</f>
        <v>0</v>
      </c>
      <c r="C122" s="531">
        <f>'UAT3-Mar'!C118</f>
        <v>0</v>
      </c>
      <c r="D122" s="531">
        <f>'UAT3-Mar'!D118</f>
        <v>0</v>
      </c>
      <c r="E122" s="531">
        <f>'UAT3-Mar'!E118</f>
        <v>0</v>
      </c>
      <c r="F122" s="531">
        <f>'UAT3-Mar'!F118</f>
        <v>0</v>
      </c>
      <c r="G122" s="531">
        <f>'UAT3-Mar'!G118</f>
        <v>0</v>
      </c>
      <c r="H122" s="531">
        <f>'UAT3-Mar'!H118</f>
        <v>0</v>
      </c>
      <c r="I122" s="531">
        <f>'UAT3-Mar'!I118</f>
        <v>0</v>
      </c>
      <c r="J122" s="531">
        <f>'UAT3-Mar'!J118</f>
        <v>0</v>
      </c>
      <c r="K122" s="531">
        <f>'UAT3-Mar'!K118</f>
        <v>0</v>
      </c>
      <c r="L122" s="531">
        <f>'UAT3-Mar'!L118</f>
        <v>0</v>
      </c>
      <c r="M122" s="531">
        <f>'UAT3-Mar'!M118</f>
        <v>0</v>
      </c>
      <c r="N122" s="531">
        <f>'UAT3-Mar'!N118</f>
        <v>0</v>
      </c>
      <c r="O122" s="532">
        <f>'UAT3-Mar'!O118</f>
        <v>0</v>
      </c>
      <c r="P122" s="339">
        <f t="shared" si="29"/>
        <v>0</v>
      </c>
    </row>
    <row r="123" spans="1:21">
      <c r="A123" s="436"/>
      <c r="F123" s="5"/>
      <c r="G123" s="5"/>
      <c r="H123" s="5"/>
      <c r="I123" s="5"/>
      <c r="P123" s="339">
        <f t="shared" si="29"/>
        <v>0</v>
      </c>
    </row>
    <row r="124" spans="1:21" ht="15.6">
      <c r="A124" s="404" t="s">
        <v>436</v>
      </c>
      <c r="P124" s="339">
        <f t="shared" si="29"/>
        <v>0</v>
      </c>
    </row>
    <row r="125" spans="1:21">
      <c r="A125" s="6" t="s">
        <v>809</v>
      </c>
      <c r="B125" s="528">
        <f>IF(OR(B11="S",B11="C"),0,IF(OR(B11="1",B11="3"),ROUND(20*8*B16/365,5),ROUND(20*'New Hire'!C24*B16/365,5)))+'UAT3-Mar'!B121</f>
        <v>52.602730000000001</v>
      </c>
      <c r="C125" s="528">
        <f>IF(OR(C11="S",C11="C"),0,IF(OR(C11="1",C11="3"),ROUND(20*8*C16/365,5),ROUND(20*'New Hire'!D24*C16/365,5)))+'UAT3-Mar'!C121</f>
        <v>47.342480000000002</v>
      </c>
      <c r="D125" s="528">
        <f>IF(OR(D11="S",D11="C"),0,IF(OR(D11="1",D11="3"),ROUND(20*8*D16/365,5),ROUND(20*'New Hire'!E24*D16/365,5)))+'UAT3-Mar'!D121</f>
        <v>49.534240000000004</v>
      </c>
      <c r="E125" s="528">
        <f>IF(OR(E11="S",E11="C"),0,IF(OR(E11="1",E11="3"),ROUND(20*8*E16/365,5),ROUND(20*'New Hire'!F24*E16/365,5)))+'UAT3-Mar'!E121</f>
        <v>52.602730000000001</v>
      </c>
      <c r="F125" s="528">
        <f>IF(OR(F11="S",F11="C"),0,IF(OR(F11="1",F11="3"),ROUND(20*8*F16/365,5),ROUND(20*'New Hire'!G24*F16/365,5)))+'UAT3-Mar'!F121</f>
        <v>42.082189999999997</v>
      </c>
      <c r="G125" s="528">
        <f>IF(OR(G11="S",G11="C"),0,IF(OR(G11="1",G11="3"),ROUND(20*8*G16/365,5),ROUND(20*'New Hire'!H24*G16/365,5)))+'UAT3-Mar'!G121</f>
        <v>0</v>
      </c>
      <c r="H125" s="528">
        <f>IF(OR(H11="S",H11="C"),0,IF(OR(H11="1",H11="3"),ROUND(20*8*H16/365,5),ROUND(20*'New Hire'!I24*H16/365,5)))+'UAT3-Mar'!H121</f>
        <v>26.301370000000002</v>
      </c>
      <c r="I125" s="528">
        <f>IF(OR(I11="S",I11="C"),0,IF(OR(I11="1",I11="3"),ROUND(20*8*I16/365,5),ROUND(20*'New Hire'!J24*I16/365,5)))+'UAT3-Mar'!I121</f>
        <v>0</v>
      </c>
      <c r="J125" s="528">
        <f>IF(OR(J11="S",J11="C"),0,IF(OR(J11="1",J11="3"),ROUND(20*8*J16/365,5),ROUND(20*'New Hire'!K24*J16/365,5)))+'UAT3-Mar'!J121</f>
        <v>24.19725</v>
      </c>
      <c r="K125" s="528">
        <f>IF(OR(K11="S",K11="C"),0,IF(OR(K11="1",K11="3"),ROUND(20*8*K16/365,5),ROUND(20*'New Hire'!L24*K16/365,5)))+'UAT3-Mar'!K121</f>
        <v>52.602730000000001</v>
      </c>
      <c r="L125" s="528">
        <f>IF(OR(L11="S",L11="C"),0,IF(OR(L11="1",L11="3"),ROUND(20*8*L16/365,5),ROUND(20*'New Hire'!M24*L16/365,5)))+'UAT3-Mar'!L121</f>
        <v>52.602730000000001</v>
      </c>
      <c r="M125" s="528">
        <f>IF(OR(M11="S",M11="C"),0,IF(OR(M11="1",M11="3"),ROUND(20*8*M16/365,5),ROUND(20*'New Hire'!N24*M16/365,5)))+'UAT3-Mar'!M121</f>
        <v>52.602730000000001</v>
      </c>
      <c r="N125" s="528">
        <f>IF(OR(N11="S",N11="C"),0,IF(OR(N11="1",N11="3"),ROUND(20*8*N16/365,5),ROUND(20*'New Hire'!O24*N16/365,5)))+'UAT3-Mar'!N121</f>
        <v>52.602730000000001</v>
      </c>
      <c r="O125" s="528">
        <f>IF(OR(O11="S",O11="C"),0,IF(OR(O11="1",O11="3"),ROUND(20*8*O16/365,5),ROUND(20*'New Hire'!P24*O16/365,5)))+'UAT3-Mar'!O121</f>
        <v>0</v>
      </c>
      <c r="P125" s="339">
        <f t="shared" si="29"/>
        <v>505.07391000000007</v>
      </c>
    </row>
    <row r="126" spans="1:21">
      <c r="A126" s="6" t="s">
        <v>810</v>
      </c>
      <c r="B126" s="529">
        <f>IF(OR(B11="S",B11="C"),0,IF(OR(B11="1",B11="3"),ROUND(10*8*B16/365,5),ROUND(10*'New Hire'!C24*B16/365,5)))+'UAT3-Mar'!B122</f>
        <v>26.301370000000002</v>
      </c>
      <c r="C126" s="529">
        <f>IF(OR(C11="S",C11="C"),0,IF(OR(C11="1",C11="3"),ROUND(10*8*C16/365,5),ROUND(10*'New Hire'!D24*C16/365,5)))+'UAT3-Mar'!C122</f>
        <v>23.671240000000001</v>
      </c>
      <c r="D126" s="529">
        <f>IF(OR(D11="S",D11="C"),0,IF(OR(D11="1",D11="3"),ROUND(10*8*D16/365,5),ROUND(10*'New Hire'!E24*D16/365,5)))+'UAT3-Mar'!D122</f>
        <v>24.767120000000002</v>
      </c>
      <c r="E126" s="529">
        <f>IF(OR(E11="S",E11="C"),0,IF(OR(E11="1",E11="3"),ROUND(10*8*E16/365,5),ROUND(10*'New Hire'!F24*E16/365,5)))+'UAT3-Mar'!E122</f>
        <v>26.301370000000002</v>
      </c>
      <c r="F126" s="529">
        <f>IF(OR(F11="S",F11="C"),0,IF(OR(F11="1",F11="3"),ROUND(10*8*F16/365,5),ROUND(10*'New Hire'!G24*F16/365,5)))+'UAT3-Mar'!F122</f>
        <v>21.0411</v>
      </c>
      <c r="G126" s="529">
        <f>IF(OR(G11="S",G11="C"),0,IF(OR(G11="1",G11="3"),ROUND(10*8*G16/365,5),ROUND(10*'New Hire'!H24*G16/365,5)))+'UAT3-Mar'!G122</f>
        <v>0</v>
      </c>
      <c r="H126" s="529">
        <f>IF(OR(H11="S",H11="C"),0,IF(OR(H11="1",H11="3"),ROUND(10*8*H16/365,5),ROUND(10*'New Hire'!I24*H16/365,5)))+'UAT3-Mar'!H122</f>
        <v>13.150679999999999</v>
      </c>
      <c r="I126" s="529">
        <f>IF(OR(I11="S",I11="C"),0,IF(OR(I11="1",I11="3"),ROUND(10*8*I16/365,5),ROUND(10*'New Hire'!J24*I16/365,5)))+'UAT3-Mar'!I122</f>
        <v>0</v>
      </c>
      <c r="J126" s="529">
        <f>IF(OR(J11="S",J11="C"),0,IF(OR(J11="1",J11="3"),ROUND(10*8*J16/365,5),ROUND(10*'New Hire'!K24*J16/365,5)))+'UAT3-Mar'!J122</f>
        <v>12.09863</v>
      </c>
      <c r="K126" s="529">
        <f>IF(OR(K11="S",K11="C"),0,IF(OR(K11="1",K11="3"),ROUND(10*8*K16/365,5),ROUND(10*'New Hire'!L24*K16/365,5)))+'UAT3-Mar'!K122</f>
        <v>26.301370000000002</v>
      </c>
      <c r="L126" s="529">
        <f>IF(OR(L11="S",L11="C"),0,IF(OR(L11="1",L11="3"),ROUND(10*8*L16/365,5),ROUND(10*'New Hire'!M24*L16/365,5)))+'UAT3-Mar'!L122</f>
        <v>26.301370000000002</v>
      </c>
      <c r="M126" s="529">
        <f>IF(OR(M11="S",M11="C"),0,IF(OR(M11="1",M11="3"),ROUND(10*8*M16/365,5),ROUND(10*'New Hire'!N24*M16/365,5)))+'UAT3-Mar'!M122</f>
        <v>26.301370000000002</v>
      </c>
      <c r="N126" s="529">
        <f>IF(OR(N11="S",N11="C"),0,IF(OR(N11="1",N11="3"),ROUND(10*8*N16/365,5),ROUND(10*'New Hire'!O24*N16/365,5)))+'UAT3-Mar'!N122</f>
        <v>26.301370000000002</v>
      </c>
      <c r="O126" s="529">
        <f>IF(OR(O11="S",O11="C"),0,IF(OR(O11="1",O11="3"),ROUND(10*8*O16/365,5),ROUND(10*'New Hire'!P24*O16/365,5)))+'UAT3-Mar'!O122</f>
        <v>0</v>
      </c>
      <c r="P126" s="339">
        <f t="shared" si="29"/>
        <v>252.53699</v>
      </c>
    </row>
    <row r="127" spans="1:21">
      <c r="A127" s="436" t="s">
        <v>779</v>
      </c>
      <c r="B127" s="528">
        <f>IF('New Hire'!C78=1,ROUND(25/10*B13%/365,5)*B16,0)+'UAT3-Mar'!B123</f>
        <v>0</v>
      </c>
      <c r="C127" s="528">
        <f>IF('New Hire'!D78=1,ROUND(25/10*C13%/365,5)*C16,0)+'UAT3-Mar'!C123</f>
        <v>0.36709999999999998</v>
      </c>
      <c r="D127" s="528">
        <f>IF('New Hire'!E78=1,ROUND(25/10*D13%/365,5)*D16,0)+'UAT3-Mar'!D123</f>
        <v>0</v>
      </c>
      <c r="E127" s="528">
        <f>IF('New Hire'!F78=1,ROUND(25/10*E13%/365,5)*E16,0)+'UAT3-Mar'!E123</f>
        <v>0</v>
      </c>
      <c r="F127" s="528">
        <f>IF('New Hire'!G78=1,ROUND(25/10*F13%/365,5)*F16,0)+'UAT3-Mar'!F123</f>
        <v>0.32636999999999994</v>
      </c>
      <c r="G127" s="528">
        <f>IF('New Hire'!H78=1,ROUND(25/10*G13%/365,5)*G16,0)+'UAT3-Mar'!G123</f>
        <v>0</v>
      </c>
      <c r="H127" s="528">
        <f>IF('New Hire'!I78=1,ROUND(25/10*H13%/365,5)*H16,0)+'UAT3-Mar'!H123</f>
        <v>0</v>
      </c>
      <c r="I127" s="528">
        <f>IF('New Hire'!J78=1,ROUND(25/10*I13%/365,5)*I16,0)+'UAT3-Mar'!I123</f>
        <v>0</v>
      </c>
      <c r="J127" s="528">
        <f>IF('New Hire'!K78=1,ROUND(25/10*J13%/365,5)*J16,0)+'UAT3-Mar'!J123</f>
        <v>0</v>
      </c>
      <c r="K127" s="528">
        <f>IF('New Hire'!L78=1,ROUND(25/10*K13%/365,5)*K16,0)+'UAT3-Mar'!K123</f>
        <v>0</v>
      </c>
      <c r="L127" s="528">
        <f>IF('New Hire'!M78=1,ROUND(25/10*L13%/365,5)*L16,0)+'UAT3-Mar'!L123</f>
        <v>0</v>
      </c>
      <c r="M127" s="528">
        <f>IF('New Hire'!N78=1,ROUND(25/10*M13%/365,5)*M16,0)+'UAT3-Mar'!M123</f>
        <v>0</v>
      </c>
      <c r="N127" s="528">
        <f>IF('New Hire'!O78=1,ROUND(25/10*N13%/365,5)*N16,0)+'UAT3-Mar'!N123</f>
        <v>0</v>
      </c>
      <c r="O127" s="528">
        <f>IF('New Hire'!P78=1,ROUND(25/10*O13%/365,5)*O16,0)+'UAT3-Mar'!O123</f>
        <v>0</v>
      </c>
      <c r="P127" s="339">
        <f t="shared" si="29"/>
        <v>0.69346999999999992</v>
      </c>
    </row>
    <row r="128" spans="1:21">
      <c r="A128" s="436" t="s">
        <v>780</v>
      </c>
      <c r="B128" s="529">
        <f>IF(B11="C",0,IF('New Hire'!C78=1,0,ROUND(5/5*B13%/365,5)*B16)+'UAT3-Mar'!B124)</f>
        <v>0.16348999999999997</v>
      </c>
      <c r="C128" s="529">
        <f>IF(C11="C",0,IF('New Hire'!D78=1,0,ROUND(5/5*C13%/365,5)*C16)+'UAT3-Mar'!C124)</f>
        <v>0</v>
      </c>
      <c r="D128" s="529">
        <f>IF(D11="C",0,IF('New Hire'!E78=1,0,ROUND(5/5*D13%/365,5)*D16)+'UAT3-Mar'!D124)</f>
        <v>0.14430999999999999</v>
      </c>
      <c r="E128" s="529">
        <f>IF(E11="C",0,IF('New Hire'!F78=1,0,ROUND(5/5*E13%/365,5)*E16)+'UAT3-Mar'!E124)</f>
        <v>0.16348999999999997</v>
      </c>
      <c r="F128" s="529">
        <f>IF(F11="C",0,IF('New Hire'!G78=1,0,ROUND(5/5*F13%/365,5)*F16)+'UAT3-Mar'!F124)</f>
        <v>0</v>
      </c>
      <c r="G128" s="529">
        <f>IF(G11="C",0,IF('New Hire'!H78=1,0,ROUND(5/5*G13%/365,5)*G16)+'UAT3-Mar'!G124)</f>
        <v>0</v>
      </c>
      <c r="H128" s="529">
        <f>IF(H11="C",0,IF('New Hire'!I78=1,0,ROUND(5/5*H13%/365,5)*H16)+'UAT3-Mar'!H124)</f>
        <v>8.1439999999999985E-2</v>
      </c>
      <c r="I128" s="529">
        <f>IF(I11="C",0,IF('New Hire'!J78=1,0,ROUND(5/5*I13%/365,5)*I16)+'UAT3-Mar'!I124)</f>
        <v>8.7320000000000009E-2</v>
      </c>
      <c r="J128" s="529">
        <f>IF(J11="C",0,IF('New Hire'!K78=1,0,ROUND(5/5*J13%/365,5)*J16)+'UAT3-Mar'!J124)</f>
        <v>5.2060000000000009E-2</v>
      </c>
      <c r="K128" s="529">
        <f>IF(K11="C",0,IF('New Hire'!L78=1,0,ROUND(5/5*K13%/365,5)*K16)+'UAT3-Mar'!K124)</f>
        <v>0.16348999999999997</v>
      </c>
      <c r="L128" s="529">
        <f>IF(L11="C",0,IF('New Hire'!M78=1,0,ROUND(5/5*L13%/365,5)*L16)+'UAT3-Mar'!L124)</f>
        <v>0.16348999999999997</v>
      </c>
      <c r="M128" s="529">
        <f>IF(M11="C",0,IF('New Hire'!N78=1,0,ROUND(5/5*M13%/365,5)*M16)+'UAT3-Mar'!M124)</f>
        <v>0.16348999999999997</v>
      </c>
      <c r="N128" s="529">
        <f>IF(N11="C",0,IF('New Hire'!O78=1,0,ROUND(5/5*N13%/365,5)*N16)+'UAT3-Mar'!N124)</f>
        <v>0.16348999999999997</v>
      </c>
      <c r="O128" s="529">
        <f>IF(O11="C",0,IF('New Hire'!P78=1,0,ROUND(5/5*O13%/365,5)*O16)+'UAT3-Mar'!O124)</f>
        <v>0</v>
      </c>
      <c r="P128" s="339">
        <f t="shared" si="29"/>
        <v>1.3460699999999997</v>
      </c>
    </row>
    <row r="129" spans="1:16">
      <c r="A129" s="436"/>
      <c r="B129" s="526"/>
      <c r="C129" s="526"/>
      <c r="D129" s="526"/>
      <c r="E129" s="526"/>
      <c r="F129" s="526"/>
      <c r="G129" s="526"/>
      <c r="H129" s="526"/>
      <c r="I129" s="526"/>
      <c r="J129" s="526"/>
      <c r="K129" s="526"/>
      <c r="L129" s="526"/>
      <c r="M129" s="526"/>
      <c r="N129" s="526"/>
      <c r="O129" s="526"/>
      <c r="P129" s="339">
        <f t="shared" si="29"/>
        <v>0</v>
      </c>
    </row>
    <row r="130" spans="1:16" ht="15.6">
      <c r="A130" s="404" t="s">
        <v>622</v>
      </c>
      <c r="P130" s="339">
        <f t="shared" si="29"/>
        <v>0</v>
      </c>
    </row>
    <row r="131" spans="1:16">
      <c r="A131" s="436" t="s">
        <v>477</v>
      </c>
      <c r="B131" s="443">
        <f>IF(OR(B18="A",B18="B"),'New Hire'!C32,ROUND('New Hire'!C32*$B$4,0))</f>
        <v>5000000</v>
      </c>
      <c r="C131" s="443">
        <f>IF(OR(C18="A",C18="B"),'New Hire'!D32,ROUND('New Hire'!D32*$B$4,0))</f>
        <v>4500000</v>
      </c>
      <c r="D131" s="443">
        <f>IF(OR(D18="A",D18="B"),'New Hire'!E32,ROUND('New Hire'!E32*$B$4,0))</f>
        <v>7000000</v>
      </c>
      <c r="E131" s="443">
        <f>IF(OR(E18="A",E18="B"),'New Hire'!F32,ROUND('New Hire'!F32*$B$4,0))</f>
        <v>9000000</v>
      </c>
      <c r="F131" s="443">
        <f>IF(OR(F18="A",F18="B"),'New Hire'!G32,ROUND('New Hire'!G32*$B$4,0))</f>
        <v>14000000</v>
      </c>
      <c r="G131" s="443"/>
      <c r="H131" s="443">
        <f>IF(OR(H18="A",H18="B"),'New Hire'!I32,ROUND('New Hire'!I32*$B$4,0))</f>
        <v>116025000</v>
      </c>
      <c r="I131" s="443">
        <f>IF(OR(I18="A",I18="B"),'New Hire'!J32,ROUND('New Hire'!J32*$B$4,0))</f>
        <v>92820000</v>
      </c>
      <c r="J131" s="443">
        <f>IF(OR(J18="A",J18="B"),'New Hire'!K32,ROUND('New Hire'!K32*$B$4,0))</f>
        <v>50000000</v>
      </c>
      <c r="K131" s="443">
        <f>IF(OR(K18="A",K18="B"),'New Hire'!L32,ROUND('New Hire'!L32*$B$4,0))</f>
        <v>8000000</v>
      </c>
      <c r="L131" s="443">
        <f>IF(OR(L18="A",L18="B"),'New Hire'!M32,ROUND('New Hire'!M32*$B$4,0))</f>
        <v>90000000</v>
      </c>
      <c r="M131" s="443">
        <f>IF(OR(M18="A",M18="B"),'New Hire'!N32,ROUND('New Hire'!N32*$B$4,0))</f>
        <v>5000000</v>
      </c>
      <c r="N131" s="443">
        <f>IF(OR(N18="A",N18="B"),'New Hire'!O32,ROUND('New Hire'!O32*$B$4,0))</f>
        <v>6500000</v>
      </c>
      <c r="O131" s="443"/>
      <c r="P131" s="339">
        <f t="shared" si="29"/>
        <v>407845000</v>
      </c>
    </row>
    <row r="132" spans="1:16">
      <c r="A132" s="436" t="s">
        <v>426</v>
      </c>
      <c r="B132" s="443"/>
      <c r="C132" s="443"/>
      <c r="D132" s="443"/>
      <c r="E132" s="443"/>
      <c r="F132" s="443"/>
      <c r="G132" s="443">
        <f>'New Hire'!H32*B4</f>
        <v>4641000</v>
      </c>
      <c r="H132" s="443"/>
      <c r="I132" s="443"/>
      <c r="J132" s="443"/>
      <c r="K132" s="443"/>
      <c r="L132" s="443"/>
      <c r="M132" s="443"/>
      <c r="N132" s="443"/>
      <c r="O132" s="443">
        <f>'New Hire'!P32</f>
        <v>800000</v>
      </c>
      <c r="P132" s="339">
        <f t="shared" si="29"/>
        <v>5441000</v>
      </c>
    </row>
    <row r="133" spans="1:16">
      <c r="A133" s="442" t="s">
        <v>494</v>
      </c>
      <c r="B133" s="443">
        <f>IF(OR(B18="A",B18="B"),'New Hire'!C34,ROUND('New Hire'!C34*$B$4,0))</f>
        <v>500000</v>
      </c>
      <c r="C133" s="443">
        <f>IF(OR(C18="A",C18="B"),'New Hire'!D34,ROUND('New Hire'!D34*$B$4,0))</f>
        <v>450000</v>
      </c>
      <c r="D133" s="443">
        <f>IF(OR(D18="A",D18="B"),'New Hire'!E34,ROUND('New Hire'!E34*$B$4,0))</f>
        <v>700000</v>
      </c>
      <c r="E133" s="443">
        <f>IF(OR(E18="A",E18="B"),'New Hire'!F34,ROUND('New Hire'!F34*$B$4,0))</f>
        <v>0</v>
      </c>
      <c r="F133" s="443">
        <f>IF(OR(F18="A",F18="B"),'New Hire'!G34,ROUND('New Hire'!G34*$B$4,0))</f>
        <v>0</v>
      </c>
      <c r="G133" s="443">
        <f>IF(OR(G18="A",G18="B"),'New Hire'!H34,ROUND('New Hire'!H34*$B$4,0))</f>
        <v>0</v>
      </c>
      <c r="H133" s="443">
        <f>IF(OR(H18="A",H18="B"),'New Hire'!I34,ROUND('New Hire'!I34*$B$4,0))</f>
        <v>11602500</v>
      </c>
      <c r="I133" s="443">
        <f>IF(OR(I18="A",I18="B"),'New Hire'!J34,ROUND('New Hire'!J34*$B$4,0))</f>
        <v>0</v>
      </c>
      <c r="J133" s="443">
        <f>IF(OR(J18="A",J18="B"),'New Hire'!K34,ROUND('New Hire'!K34*$B$4,0))</f>
        <v>5000000</v>
      </c>
      <c r="K133" s="443">
        <f>IF(OR(K18="A",K18="B"),'New Hire'!L34,ROUND('New Hire'!L34*$B$4,0))</f>
        <v>800000</v>
      </c>
      <c r="L133" s="443">
        <f>IF(OR(L18="A",L18="B"),'New Hire'!M34,ROUND('New Hire'!M34*$B$4,0))</f>
        <v>0</v>
      </c>
      <c r="M133" s="443">
        <f>IF(OR(M18="A",M18="B"),'New Hire'!N34,ROUND('New Hire'!N34*$B$4,0))</f>
        <v>1000000</v>
      </c>
      <c r="N133" s="443">
        <f>IF(OR(N18="A",N18="B"),'New Hire'!O34,ROUND('New Hire'!O34*$B$4,0))</f>
        <v>1000000</v>
      </c>
      <c r="O133" s="443">
        <f>IF(OR(O18="A",O18="B"),'New Hire'!P34,ROUND('New Hire'!P34*$B$4,0))</f>
        <v>0</v>
      </c>
      <c r="P133" s="339">
        <f t="shared" si="29"/>
        <v>21052500</v>
      </c>
    </row>
    <row r="134" spans="1:16">
      <c r="A134" s="408" t="s">
        <v>566</v>
      </c>
      <c r="B134" s="443">
        <f>IF(OR(B18="A",B18="B"),'New Hire'!C36,ROUND('New Hire'!C36*$B$4,0))</f>
        <v>1000000</v>
      </c>
      <c r="C134" s="443">
        <f>IF(OR(C18="A",C18="B"),'New Hire'!D36,ROUND('New Hire'!D36*$B$4,0))</f>
        <v>900000</v>
      </c>
      <c r="D134" s="443">
        <f>IF(OR(D18="A",D18="B"),'New Hire'!E36,ROUND('New Hire'!E36*$B$4,0))</f>
        <v>1400000</v>
      </c>
      <c r="E134" s="443">
        <f>IF(OR(E18="A",E18="B"),'New Hire'!F36,ROUND('New Hire'!F36*$B$4,0))</f>
        <v>0</v>
      </c>
      <c r="F134" s="443">
        <f>IF(OR(F18="A",F18="B"),'New Hire'!G36,ROUND('New Hire'!G36*$B$4,0))</f>
        <v>0</v>
      </c>
      <c r="G134" s="443">
        <f>IF(OR(G18="A",G18="B"),'New Hire'!H36,ROUND('New Hire'!H36*$B$4,0))</f>
        <v>0</v>
      </c>
      <c r="H134" s="443">
        <f>IF(OR(H18="A",H18="B"),'New Hire'!I36,ROUND('New Hire'!I36*$B$4,0))</f>
        <v>23205000</v>
      </c>
      <c r="I134" s="443">
        <f>IF(OR(I18="A",I18="B"),'New Hire'!J36,ROUND('New Hire'!J36*$B$4,0))</f>
        <v>0</v>
      </c>
      <c r="J134" s="443">
        <f>IF(OR(J18="A",J18="B"),'New Hire'!K36,ROUND('New Hire'!K36*$B$4,0))</f>
        <v>10000000</v>
      </c>
      <c r="K134" s="443">
        <f>IF(OR(K18="A",K18="B"),'New Hire'!L36,ROUND('New Hire'!L36*$B$4,0))</f>
        <v>1600000</v>
      </c>
      <c r="L134" s="443">
        <f>IF(OR(L18="A",L18="B"),'New Hire'!M36,ROUND('New Hire'!M36*$B$4,0))</f>
        <v>0</v>
      </c>
      <c r="M134" s="443">
        <f>IF(OR(M18="A",M18="B"),'New Hire'!N36,ROUND('New Hire'!N36*$B$4,0))</f>
        <v>1500000</v>
      </c>
      <c r="N134" s="443">
        <f>IF(OR(N18="A",N18="B"),'New Hire'!O36,ROUND('New Hire'!O36*$B$4,0))</f>
        <v>1500000</v>
      </c>
      <c r="O134" s="443">
        <f>IF(OR(O18="A",O18="B"),'New Hire'!P36,ROUND('New Hire'!P36*$B$4,0))</f>
        <v>0</v>
      </c>
      <c r="P134" s="339">
        <f t="shared" si="29"/>
        <v>41105000</v>
      </c>
    </row>
    <row r="135" spans="1:16">
      <c r="A135" s="416" t="s">
        <v>493</v>
      </c>
      <c r="B135" s="443"/>
      <c r="C135" s="443"/>
      <c r="D135" s="443"/>
      <c r="E135" s="443"/>
      <c r="F135" s="443"/>
      <c r="G135" s="444"/>
      <c r="H135" s="444"/>
      <c r="I135" s="444"/>
      <c r="J135" s="444"/>
      <c r="K135" s="444"/>
      <c r="L135" s="444"/>
      <c r="M135" s="444"/>
      <c r="N135" s="444"/>
      <c r="O135" s="444"/>
      <c r="P135" s="339">
        <f t="shared" si="29"/>
        <v>0</v>
      </c>
    </row>
    <row r="136" spans="1:16">
      <c r="A136" s="405" t="s">
        <v>528</v>
      </c>
      <c r="B136" s="443"/>
      <c r="C136" s="443"/>
      <c r="D136" s="443"/>
      <c r="E136" s="443"/>
      <c r="F136" s="446"/>
      <c r="G136" s="446"/>
      <c r="H136" s="446"/>
      <c r="I136" s="446"/>
      <c r="J136" s="446"/>
      <c r="K136" s="446"/>
      <c r="L136" s="446"/>
      <c r="M136" s="446"/>
      <c r="N136" s="446"/>
      <c r="O136" s="446"/>
      <c r="P136" s="339">
        <f t="shared" si="29"/>
        <v>0</v>
      </c>
    </row>
    <row r="137" spans="1:16">
      <c r="A137" s="416" t="s">
        <v>592</v>
      </c>
      <c r="B137" s="326"/>
      <c r="C137" s="326"/>
      <c r="D137" s="326"/>
      <c r="E137" s="326"/>
      <c r="F137" s="326"/>
      <c r="G137" s="334"/>
      <c r="H137" s="326"/>
      <c r="I137" s="326"/>
      <c r="J137" s="446"/>
      <c r="K137" s="446"/>
      <c r="L137" s="446"/>
      <c r="M137" s="446"/>
      <c r="N137" s="446"/>
      <c r="O137" s="446"/>
      <c r="P137" s="339">
        <f t="shared" si="29"/>
        <v>0</v>
      </c>
    </row>
    <row r="138" spans="1:16">
      <c r="A138" s="408" t="s">
        <v>491</v>
      </c>
      <c r="B138" s="443"/>
      <c r="C138" s="326"/>
      <c r="D138" s="326"/>
      <c r="E138" s="447"/>
      <c r="F138" s="334"/>
      <c r="G138" s="334"/>
      <c r="H138" s="326"/>
      <c r="I138" s="326"/>
      <c r="J138" s="446"/>
      <c r="K138" s="326"/>
      <c r="L138" s="446"/>
      <c r="M138" s="446"/>
      <c r="N138" s="446"/>
      <c r="O138" s="446"/>
      <c r="P138" s="339">
        <f t="shared" si="29"/>
        <v>0</v>
      </c>
    </row>
    <row r="139" spans="1:16">
      <c r="A139" s="408" t="s">
        <v>497</v>
      </c>
      <c r="B139" s="443"/>
      <c r="C139" s="443"/>
      <c r="D139" s="443"/>
      <c r="E139" s="447"/>
      <c r="F139" s="334"/>
      <c r="G139" s="334"/>
      <c r="H139" s="326"/>
      <c r="I139" s="326"/>
      <c r="J139" s="446"/>
      <c r="K139" s="446"/>
      <c r="L139" s="446"/>
      <c r="M139" s="446"/>
      <c r="N139" s="446"/>
      <c r="O139" s="446"/>
      <c r="P139" s="339">
        <f t="shared" si="29"/>
        <v>0</v>
      </c>
    </row>
    <row r="140" spans="1:16">
      <c r="A140" s="6" t="s">
        <v>623</v>
      </c>
      <c r="B140" s="443"/>
      <c r="C140" s="443"/>
      <c r="D140" s="443"/>
      <c r="E140" s="447"/>
      <c r="F140" s="334"/>
      <c r="G140" s="334"/>
      <c r="H140" s="326"/>
      <c r="I140" s="326"/>
      <c r="J140" s="446"/>
      <c r="K140" s="446"/>
      <c r="L140" s="446"/>
      <c r="M140" s="446"/>
      <c r="N140" s="446"/>
      <c r="O140" s="446"/>
      <c r="P140" s="339">
        <f t="shared" si="29"/>
        <v>0</v>
      </c>
    </row>
    <row r="141" spans="1:16">
      <c r="A141" s="6" t="s">
        <v>624</v>
      </c>
      <c r="B141" s="443"/>
      <c r="C141" s="443"/>
      <c r="D141" s="443"/>
      <c r="E141" s="447"/>
      <c r="F141" s="334"/>
      <c r="G141" s="334"/>
      <c r="H141" s="326"/>
      <c r="I141" s="326"/>
      <c r="J141" s="446"/>
      <c r="K141" s="446"/>
      <c r="L141" s="446"/>
      <c r="M141" s="446"/>
      <c r="N141" s="446"/>
      <c r="O141" s="446"/>
      <c r="P141" s="339">
        <f t="shared" si="29"/>
        <v>0</v>
      </c>
    </row>
    <row r="142" spans="1:16">
      <c r="A142" s="6" t="s">
        <v>625</v>
      </c>
      <c r="B142" s="443"/>
      <c r="C142" s="443"/>
      <c r="D142" s="443"/>
      <c r="E142" s="443"/>
      <c r="F142" s="446"/>
      <c r="G142" s="447"/>
      <c r="H142" s="334"/>
      <c r="I142" s="334"/>
      <c r="J142" s="326"/>
      <c r="K142" s="326"/>
      <c r="L142" s="334"/>
      <c r="M142" s="446"/>
      <c r="N142" s="446"/>
      <c r="O142" s="446"/>
      <c r="P142" s="339">
        <f t="shared" si="29"/>
        <v>0</v>
      </c>
    </row>
    <row r="143" spans="1:16">
      <c r="A143" s="405" t="s">
        <v>606</v>
      </c>
      <c r="B143" s="443"/>
      <c r="C143" s="443"/>
      <c r="D143" s="443"/>
      <c r="E143" s="443"/>
      <c r="F143" s="446"/>
      <c r="G143" s="447"/>
      <c r="H143" s="334">
        <f>100*B4</f>
        <v>2320500</v>
      </c>
      <c r="I143" s="334">
        <f>100*B4</f>
        <v>2320500</v>
      </c>
      <c r="J143" s="326"/>
      <c r="K143" s="446"/>
      <c r="L143" s="334"/>
      <c r="M143" s="446"/>
      <c r="N143" s="446"/>
      <c r="O143" s="446"/>
      <c r="P143" s="339">
        <f t="shared" si="29"/>
        <v>4641000</v>
      </c>
    </row>
    <row r="144" spans="1:16">
      <c r="A144" s="405" t="s">
        <v>607</v>
      </c>
      <c r="B144" s="443"/>
      <c r="C144" s="443"/>
      <c r="D144" s="443"/>
      <c r="E144" s="443"/>
      <c r="F144" s="446"/>
      <c r="G144" s="447"/>
      <c r="H144" s="334">
        <f>200*B4</f>
        <v>4641000</v>
      </c>
      <c r="I144" s="334">
        <f>200*B4</f>
        <v>4641000</v>
      </c>
      <c r="J144" s="326"/>
      <c r="K144" s="446"/>
      <c r="L144" s="334"/>
      <c r="M144" s="446"/>
      <c r="N144" s="446"/>
      <c r="O144" s="446"/>
      <c r="P144" s="339">
        <f t="shared" si="29"/>
        <v>9282000</v>
      </c>
    </row>
    <row r="145" spans="1:16">
      <c r="A145" s="6" t="s">
        <v>1262</v>
      </c>
      <c r="B145" s="443">
        <f>B131-B143-B144</f>
        <v>5000000</v>
      </c>
      <c r="C145" s="443">
        <f t="shared" ref="C145:O145" si="43">C131-C143-C144</f>
        <v>4500000</v>
      </c>
      <c r="D145" s="443">
        <f t="shared" si="43"/>
        <v>7000000</v>
      </c>
      <c r="E145" s="443">
        <f t="shared" si="43"/>
        <v>9000000</v>
      </c>
      <c r="F145" s="443">
        <f t="shared" si="43"/>
        <v>14000000</v>
      </c>
      <c r="G145" s="443">
        <f t="shared" si="43"/>
        <v>0</v>
      </c>
      <c r="H145" s="443">
        <f t="shared" si="43"/>
        <v>109063500</v>
      </c>
      <c r="I145" s="443">
        <f t="shared" si="43"/>
        <v>85858500</v>
      </c>
      <c r="J145" s="443">
        <f t="shared" si="43"/>
        <v>50000000</v>
      </c>
      <c r="K145" s="443">
        <f t="shared" si="43"/>
        <v>8000000</v>
      </c>
      <c r="L145" s="443">
        <f t="shared" si="43"/>
        <v>90000000</v>
      </c>
      <c r="M145" s="443">
        <f t="shared" si="43"/>
        <v>5000000</v>
      </c>
      <c r="N145" s="443">
        <f t="shared" si="43"/>
        <v>6500000</v>
      </c>
      <c r="O145" s="443">
        <f t="shared" si="43"/>
        <v>0</v>
      </c>
      <c r="P145" s="339">
        <f t="shared" si="29"/>
        <v>393922000</v>
      </c>
    </row>
    <row r="146" spans="1:16">
      <c r="A146" s="6" t="s">
        <v>1261</v>
      </c>
      <c r="B146" s="443">
        <f>B131-ROUND(B143/B13,0)-ROUND(B144/B13,0)</f>
        <v>5000000</v>
      </c>
      <c r="C146" s="443">
        <f t="shared" ref="C146:O146" si="44">C131-ROUND(C143/C13,0)-ROUND(C144/C13,0)</f>
        <v>4500000</v>
      </c>
      <c r="D146" s="443">
        <f t="shared" si="44"/>
        <v>7000000</v>
      </c>
      <c r="E146" s="443">
        <f t="shared" si="44"/>
        <v>9000000</v>
      </c>
      <c r="F146" s="443">
        <f t="shared" si="44"/>
        <v>14000000</v>
      </c>
      <c r="G146" s="443">
        <f t="shared" si="44"/>
        <v>0</v>
      </c>
      <c r="H146" s="443">
        <f t="shared" si="44"/>
        <v>102102000</v>
      </c>
      <c r="I146" s="443">
        <f t="shared" si="44"/>
        <v>83538000</v>
      </c>
      <c r="J146" s="443">
        <f t="shared" si="44"/>
        <v>50000000</v>
      </c>
      <c r="K146" s="443">
        <f t="shared" si="44"/>
        <v>8000000</v>
      </c>
      <c r="L146" s="443">
        <f t="shared" si="44"/>
        <v>90000000</v>
      </c>
      <c r="M146" s="443">
        <f t="shared" si="44"/>
        <v>5000000</v>
      </c>
      <c r="N146" s="443">
        <f t="shared" si="44"/>
        <v>6500000</v>
      </c>
      <c r="O146" s="443">
        <f t="shared" si="44"/>
        <v>0</v>
      </c>
      <c r="P146" s="339">
        <f t="shared" si="29"/>
        <v>384640000</v>
      </c>
    </row>
    <row r="147" spans="1:16">
      <c r="A147" s="6" t="s">
        <v>628</v>
      </c>
      <c r="B147" s="443">
        <f>MIN(IF(OR(B18="A",B18="B"),0,ROUND((B146+B133+B134+B136)*B13/$B$4*$B$5,0)),27800000)</f>
        <v>0</v>
      </c>
      <c r="C147" s="443">
        <f t="shared" ref="C147:O147" si="45">MIN(IF(OR(C18="A",C18="B"),0,ROUND((C146+C133+C134+C136)*C13/$B$4*$B$5,0)),27800000)</f>
        <v>0</v>
      </c>
      <c r="D147" s="443">
        <f t="shared" si="45"/>
        <v>0</v>
      </c>
      <c r="E147" s="443">
        <f t="shared" si="45"/>
        <v>0</v>
      </c>
      <c r="F147" s="443">
        <f t="shared" si="45"/>
        <v>0</v>
      </c>
      <c r="G147" s="443">
        <f t="shared" si="45"/>
        <v>0</v>
      </c>
      <c r="H147" s="443">
        <f t="shared" si="45"/>
        <v>27800000</v>
      </c>
      <c r="I147" s="443">
        <f t="shared" si="45"/>
        <v>27800000</v>
      </c>
      <c r="J147" s="443">
        <f t="shared" si="45"/>
        <v>0</v>
      </c>
      <c r="K147" s="443">
        <f t="shared" si="45"/>
        <v>0</v>
      </c>
      <c r="L147" s="443">
        <f t="shared" si="45"/>
        <v>0</v>
      </c>
      <c r="M147" s="443">
        <f t="shared" si="45"/>
        <v>0</v>
      </c>
      <c r="N147" s="443">
        <f t="shared" si="45"/>
        <v>0</v>
      </c>
      <c r="O147" s="443">
        <f t="shared" si="45"/>
        <v>0</v>
      </c>
      <c r="P147" s="339">
        <f t="shared" si="29"/>
        <v>55600000</v>
      </c>
    </row>
    <row r="148" spans="1:16">
      <c r="A148" s="6" t="s">
        <v>1201</v>
      </c>
      <c r="B148" s="443">
        <f>IF(OR(B18="A",B18="B"),0,ROUND((B146+B133+B134+B136)*B13/$B$4*$B$5,0))</f>
        <v>0</v>
      </c>
      <c r="C148" s="443">
        <f t="shared" ref="C148:O148" si="46">IF(OR(C18="A",C18="B"),0,ROUND((C146+C133+C134+C136)*C13/$B$4*$B$5,0))</f>
        <v>0</v>
      </c>
      <c r="D148" s="443">
        <f t="shared" si="46"/>
        <v>0</v>
      </c>
      <c r="E148" s="443">
        <f t="shared" si="46"/>
        <v>0</v>
      </c>
      <c r="F148" s="443">
        <f t="shared" si="46"/>
        <v>0</v>
      </c>
      <c r="G148" s="443">
        <f t="shared" si="46"/>
        <v>0</v>
      </c>
      <c r="H148" s="443">
        <f t="shared" si="46"/>
        <v>69325000</v>
      </c>
      <c r="I148" s="443">
        <f t="shared" si="46"/>
        <v>63450000</v>
      </c>
      <c r="J148" s="443">
        <f t="shared" si="46"/>
        <v>0</v>
      </c>
      <c r="K148" s="443">
        <f t="shared" si="46"/>
        <v>0</v>
      </c>
      <c r="L148" s="443">
        <f t="shared" si="46"/>
        <v>0</v>
      </c>
      <c r="M148" s="443">
        <f t="shared" si="46"/>
        <v>0</v>
      </c>
      <c r="N148" s="443">
        <f t="shared" si="46"/>
        <v>0</v>
      </c>
      <c r="O148" s="443">
        <f t="shared" si="46"/>
        <v>0</v>
      </c>
      <c r="P148" s="339">
        <f t="shared" si="29"/>
        <v>132775000</v>
      </c>
    </row>
    <row r="149" spans="1:16">
      <c r="A149" s="6" t="s">
        <v>657</v>
      </c>
      <c r="B149" s="5">
        <v>0</v>
      </c>
      <c r="C149" s="5">
        <v>0</v>
      </c>
      <c r="D149" s="5">
        <v>0</v>
      </c>
      <c r="E149" s="5">
        <v>0</v>
      </c>
      <c r="F149" s="5">
        <v>0</v>
      </c>
      <c r="G149" s="5">
        <v>0</v>
      </c>
      <c r="H149" s="5">
        <v>0</v>
      </c>
      <c r="I149" s="5">
        <v>0</v>
      </c>
      <c r="J149" s="5">
        <v>0</v>
      </c>
      <c r="K149" s="5">
        <v>0</v>
      </c>
      <c r="L149" s="5">
        <v>0</v>
      </c>
      <c r="M149" s="5">
        <v>0</v>
      </c>
      <c r="N149" s="5">
        <v>0</v>
      </c>
      <c r="O149" s="5">
        <v>0</v>
      </c>
      <c r="P149" s="339">
        <f t="shared" si="29"/>
        <v>0</v>
      </c>
    </row>
  </sheetData>
  <mergeCells count="5">
    <mergeCell ref="G6:J6"/>
    <mergeCell ref="X6:AA6"/>
    <mergeCell ref="P7:P8"/>
    <mergeCell ref="X9:AA12"/>
    <mergeCell ref="X42:AA42"/>
  </mergeCells>
  <phoneticPr fontId="104" type="noConversion"/>
  <pageMargins left="0.75" right="0.75" top="1" bottom="1" header="0.5" footer="0.5"/>
  <pageSetup paperSize="9" orientation="portrait" verticalDpi="90" r:id="rId1"/>
  <headerFooter alignWithMargins="0"/>
  <drawing r:id="rId2"/>
  <legacy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H13"/>
  <sheetViews>
    <sheetView showGridLines="0" zoomScaleNormal="100" workbookViewId="0">
      <selection activeCell="E5" sqref="E5"/>
    </sheetView>
  </sheetViews>
  <sheetFormatPr defaultColWidth="9.109375" defaultRowHeight="13.2"/>
  <cols>
    <col min="1" max="1" width="10.44140625" style="115" customWidth="1"/>
    <col min="2" max="2" width="16.33203125" style="115" customWidth="1"/>
    <col min="3" max="3" width="9" style="115" bestFit="1" customWidth="1"/>
    <col min="4" max="4" width="9.88671875" style="115" bestFit="1" customWidth="1"/>
    <col min="5" max="5" width="14.5546875" style="115" bestFit="1" customWidth="1"/>
    <col min="6" max="6" width="60.109375" style="115" customWidth="1"/>
    <col min="7" max="16384" width="9.109375" style="115"/>
  </cols>
  <sheetData>
    <row r="1" spans="1:8" ht="72.75" customHeight="1"/>
    <row r="2" spans="1:8" ht="16.2" thickBot="1">
      <c r="A2" s="127" t="s">
        <v>124</v>
      </c>
      <c r="B2" s="116"/>
      <c r="C2" s="116"/>
      <c r="D2" s="116"/>
      <c r="E2" s="116"/>
      <c r="F2" s="116"/>
    </row>
    <row r="3" spans="1:8" ht="13.8" thickBot="1">
      <c r="A3" s="126" t="s">
        <v>94</v>
      </c>
      <c r="B3" s="125" t="s">
        <v>91</v>
      </c>
      <c r="C3" s="125" t="s">
        <v>92</v>
      </c>
      <c r="D3" s="125" t="s">
        <v>123</v>
      </c>
      <c r="E3" s="125" t="s">
        <v>93</v>
      </c>
      <c r="F3" s="124" t="s">
        <v>96</v>
      </c>
      <c r="G3" s="118"/>
      <c r="H3" s="118"/>
    </row>
    <row r="4" spans="1:8" ht="31.2">
      <c r="A4" s="123">
        <v>2</v>
      </c>
      <c r="B4" s="123" t="s">
        <v>125</v>
      </c>
      <c r="C4" s="123" t="s">
        <v>130</v>
      </c>
      <c r="D4" s="123"/>
      <c r="E4" s="123"/>
      <c r="F4" s="123"/>
    </row>
    <row r="5" spans="1:8" ht="31.2">
      <c r="A5" s="123">
        <v>3</v>
      </c>
      <c r="B5" s="123" t="s">
        <v>126</v>
      </c>
      <c r="C5" s="123" t="s">
        <v>127</v>
      </c>
      <c r="D5" s="123">
        <v>2012151807</v>
      </c>
      <c r="E5" s="128">
        <v>42768</v>
      </c>
      <c r="F5" s="123"/>
    </row>
    <row r="6" spans="1:8">
      <c r="A6" s="122"/>
      <c r="B6" s="121"/>
      <c r="C6" s="121"/>
      <c r="D6" s="120"/>
      <c r="E6" s="119"/>
      <c r="F6" s="119"/>
      <c r="G6" s="118"/>
      <c r="H6" s="118"/>
    </row>
    <row r="7" spans="1:8" ht="15.6">
      <c r="A7" s="117" t="s">
        <v>122</v>
      </c>
    </row>
    <row r="8" spans="1:8" ht="102.75" customHeight="1">
      <c r="A8" s="780" t="s">
        <v>128</v>
      </c>
      <c r="B8" s="780"/>
      <c r="C8" s="780"/>
      <c r="D8" s="780"/>
      <c r="E8" s="780"/>
      <c r="F8" s="780"/>
    </row>
    <row r="10" spans="1:8" ht="15.6">
      <c r="A10" s="117" t="s">
        <v>121</v>
      </c>
    </row>
    <row r="11" spans="1:8" ht="44.25" customHeight="1">
      <c r="A11" s="780" t="s">
        <v>120</v>
      </c>
      <c r="B11" s="780"/>
      <c r="C11" s="780"/>
      <c r="D11" s="780"/>
      <c r="E11" s="780"/>
      <c r="F11" s="780"/>
    </row>
    <row r="13" spans="1:8">
      <c r="A13" s="116"/>
      <c r="B13" s="116"/>
      <c r="C13" s="116"/>
      <c r="D13" s="116"/>
      <c r="E13" s="116"/>
      <c r="F13" s="116"/>
    </row>
  </sheetData>
  <mergeCells count="2">
    <mergeCell ref="A8:F8"/>
    <mergeCell ref="A11:F11"/>
  </mergeCells>
  <phoneticPr fontId="104"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14"/>
  <sheetViews>
    <sheetView topLeftCell="F1" workbookViewId="0">
      <selection activeCell="M12" sqref="M12"/>
    </sheetView>
  </sheetViews>
  <sheetFormatPr defaultRowHeight="13.2"/>
  <cols>
    <col min="1" max="1" width="11.5546875" customWidth="1"/>
    <col min="2" max="2" width="13.44140625" customWidth="1"/>
    <col min="3" max="3" width="11" customWidth="1"/>
    <col min="5" max="5" width="31.5546875" style="681" bestFit="1" customWidth="1"/>
    <col min="8" max="8" width="14.44140625" customWidth="1"/>
    <col min="9" max="9" width="50.77734375" bestFit="1" customWidth="1"/>
    <col min="10" max="10" width="53.44140625" customWidth="1"/>
    <col min="11" max="11" width="11" customWidth="1"/>
    <col min="12" max="12" width="18.109375" customWidth="1"/>
    <col min="13" max="13" width="14.5546875" customWidth="1"/>
    <col min="20" max="20" width="13" customWidth="1"/>
  </cols>
  <sheetData>
    <row r="1" spans="1:21" ht="17.399999999999999">
      <c r="A1" s="161" t="s">
        <v>6</v>
      </c>
      <c r="B1" s="157"/>
      <c r="C1" s="157"/>
      <c r="D1" s="157"/>
      <c r="E1" s="680"/>
      <c r="F1" s="157"/>
      <c r="G1" s="157"/>
      <c r="H1" s="157"/>
      <c r="I1" s="157"/>
      <c r="J1" s="197"/>
      <c r="K1" s="157"/>
      <c r="L1" s="157"/>
      <c r="M1" s="157"/>
      <c r="N1" s="157"/>
      <c r="O1" s="157"/>
      <c r="P1" s="157"/>
      <c r="Q1" s="157"/>
      <c r="R1" s="157"/>
      <c r="S1" s="157"/>
      <c r="T1" s="186"/>
      <c r="U1" s="186"/>
    </row>
    <row r="3" spans="1:21" ht="30">
      <c r="A3" s="158" t="s">
        <v>334</v>
      </c>
      <c r="B3" s="157"/>
      <c r="C3" s="157"/>
      <c r="D3" s="157"/>
      <c r="E3" s="680"/>
      <c r="F3" s="157"/>
      <c r="G3" s="157"/>
      <c r="H3" s="157"/>
      <c r="I3" s="157"/>
      <c r="J3" s="197"/>
      <c r="K3" s="157"/>
      <c r="L3" s="157"/>
      <c r="M3" s="157"/>
      <c r="N3" s="157"/>
      <c r="O3" s="157"/>
      <c r="P3" s="157"/>
      <c r="Q3" s="157"/>
      <c r="R3" s="157"/>
      <c r="S3" s="157"/>
    </row>
    <row r="4" spans="1:21">
      <c r="A4" s="157"/>
      <c r="B4" s="157"/>
      <c r="C4" s="157"/>
      <c r="D4" s="157"/>
      <c r="E4" s="680"/>
      <c r="F4" s="157"/>
      <c r="G4" s="157"/>
      <c r="H4" s="157"/>
      <c r="I4" s="157"/>
      <c r="J4" s="197"/>
      <c r="K4" s="157"/>
      <c r="L4" s="157"/>
      <c r="M4" s="157"/>
      <c r="N4" s="157"/>
      <c r="O4" s="157"/>
      <c r="P4" s="157"/>
      <c r="Q4" s="157"/>
      <c r="R4" s="157"/>
      <c r="S4" s="157"/>
    </row>
    <row r="5" spans="1:21">
      <c r="A5" s="157"/>
      <c r="B5" s="157"/>
      <c r="C5" s="157"/>
      <c r="D5" s="157"/>
      <c r="E5" s="680"/>
      <c r="F5" s="157"/>
      <c r="G5" s="157"/>
      <c r="H5" s="157"/>
      <c r="I5" s="157"/>
      <c r="J5" s="197"/>
      <c r="K5" s="157"/>
      <c r="L5" s="157"/>
      <c r="M5" s="157"/>
      <c r="N5" s="157"/>
      <c r="O5" s="157"/>
      <c r="P5" s="157"/>
      <c r="Q5" s="157"/>
      <c r="R5" s="157"/>
      <c r="S5" s="157"/>
    </row>
    <row r="6" spans="1:21" ht="27.6">
      <c r="A6" s="162" t="s">
        <v>184</v>
      </c>
      <c r="B6" s="162" t="s">
        <v>185</v>
      </c>
      <c r="C6" s="162" t="s">
        <v>186</v>
      </c>
      <c r="D6" s="162" t="s">
        <v>187</v>
      </c>
      <c r="E6" s="163" t="s">
        <v>188</v>
      </c>
      <c r="F6" s="162" t="s">
        <v>189</v>
      </c>
      <c r="G6" s="162" t="s">
        <v>190</v>
      </c>
      <c r="H6" s="162" t="s">
        <v>191</v>
      </c>
      <c r="I6" s="162" t="s">
        <v>192</v>
      </c>
      <c r="J6" s="162" t="s">
        <v>336</v>
      </c>
      <c r="K6" s="163" t="s">
        <v>193</v>
      </c>
      <c r="L6" s="163" t="s">
        <v>137</v>
      </c>
      <c r="M6" s="163" t="s">
        <v>194</v>
      </c>
      <c r="N6" s="157"/>
      <c r="O6" s="157"/>
      <c r="P6" s="157"/>
      <c r="Q6" s="157"/>
      <c r="R6" s="157"/>
      <c r="S6" s="157"/>
    </row>
    <row r="7" spans="1:21" ht="13.8">
      <c r="A7" s="159">
        <v>1</v>
      </c>
      <c r="B7" s="642">
        <v>43875</v>
      </c>
      <c r="C7" s="159" t="s">
        <v>154</v>
      </c>
      <c r="D7" s="159" t="s">
        <v>196</v>
      </c>
      <c r="E7" s="164" t="s">
        <v>1207</v>
      </c>
      <c r="F7" s="190" t="s">
        <v>180</v>
      </c>
      <c r="G7" s="190" t="s">
        <v>183</v>
      </c>
      <c r="H7" s="159" t="s">
        <v>1208</v>
      </c>
      <c r="I7" s="164" t="s">
        <v>1209</v>
      </c>
      <c r="J7" s="164"/>
      <c r="K7" s="159" t="s">
        <v>197</v>
      </c>
      <c r="L7" s="159" t="s">
        <v>1210</v>
      </c>
      <c r="M7" s="642">
        <v>43878</v>
      </c>
      <c r="N7" s="157"/>
      <c r="O7" s="157"/>
      <c r="P7" s="157"/>
      <c r="Q7" s="157"/>
      <c r="R7" s="157"/>
      <c r="S7" s="157"/>
    </row>
    <row r="8" spans="1:21" ht="13.8">
      <c r="A8" s="159">
        <v>2</v>
      </c>
      <c r="B8" s="642">
        <v>43875</v>
      </c>
      <c r="C8" s="190" t="s">
        <v>154</v>
      </c>
      <c r="D8" s="190" t="s">
        <v>196</v>
      </c>
      <c r="E8" s="164" t="s">
        <v>1211</v>
      </c>
      <c r="F8" s="190" t="s">
        <v>180</v>
      </c>
      <c r="G8" s="190" t="s">
        <v>183</v>
      </c>
      <c r="H8" s="190" t="s">
        <v>1208</v>
      </c>
      <c r="I8" s="164" t="s">
        <v>1212</v>
      </c>
      <c r="J8" s="164"/>
      <c r="K8" s="190" t="s">
        <v>197</v>
      </c>
      <c r="L8" s="190" t="s">
        <v>1126</v>
      </c>
      <c r="M8" s="642">
        <v>43878</v>
      </c>
      <c r="N8" s="157"/>
      <c r="O8" s="157"/>
      <c r="P8" s="157"/>
      <c r="Q8" s="157"/>
      <c r="R8" s="157"/>
      <c r="S8" s="157"/>
    </row>
    <row r="9" spans="1:21" ht="27.6">
      <c r="A9" s="159">
        <v>3</v>
      </c>
      <c r="B9" s="642">
        <v>43875</v>
      </c>
      <c r="C9" s="159" t="s">
        <v>1239</v>
      </c>
      <c r="D9" s="159" t="s">
        <v>1240</v>
      </c>
      <c r="E9" s="164" t="s">
        <v>1241</v>
      </c>
      <c r="F9" s="190" t="s">
        <v>1246</v>
      </c>
      <c r="G9" s="190" t="s">
        <v>183</v>
      </c>
      <c r="H9" s="159" t="s">
        <v>1245</v>
      </c>
      <c r="I9" s="164" t="s">
        <v>1242</v>
      </c>
      <c r="J9" s="164" t="s">
        <v>1244</v>
      </c>
      <c r="K9" s="159" t="s">
        <v>1243</v>
      </c>
      <c r="L9" s="159"/>
      <c r="M9" s="642">
        <v>43907</v>
      </c>
      <c r="N9" s="157"/>
      <c r="O9" s="157"/>
      <c r="P9" s="157"/>
      <c r="Q9" s="157"/>
      <c r="R9" s="157"/>
      <c r="S9" s="157"/>
      <c r="T9" s="186"/>
      <c r="U9" s="186"/>
    </row>
    <row r="10" spans="1:21" ht="13.8">
      <c r="A10" s="159">
        <v>4</v>
      </c>
      <c r="B10" s="642">
        <v>43908</v>
      </c>
      <c r="C10" s="159" t="s">
        <v>1275</v>
      </c>
      <c r="D10" s="159" t="s">
        <v>1276</v>
      </c>
      <c r="E10" s="164" t="s">
        <v>1277</v>
      </c>
      <c r="F10" s="190" t="s">
        <v>1278</v>
      </c>
      <c r="G10" s="190" t="s">
        <v>183</v>
      </c>
      <c r="H10" s="159" t="s">
        <v>1279</v>
      </c>
      <c r="I10" s="164" t="s">
        <v>1280</v>
      </c>
      <c r="J10" s="164" t="s">
        <v>1281</v>
      </c>
      <c r="K10" s="159" t="s">
        <v>1282</v>
      </c>
      <c r="L10" s="159" t="s">
        <v>1283</v>
      </c>
      <c r="M10" s="642">
        <v>43908</v>
      </c>
      <c r="N10" s="157"/>
      <c r="O10" s="157"/>
      <c r="P10" s="157"/>
      <c r="Q10" s="157"/>
      <c r="R10" s="157"/>
      <c r="S10" s="157"/>
      <c r="T10" s="186"/>
      <c r="U10" s="186"/>
    </row>
    <row r="11" spans="1:21" ht="27.6">
      <c r="A11" s="159">
        <v>5</v>
      </c>
      <c r="B11" s="642">
        <v>43914</v>
      </c>
      <c r="C11" s="159" t="s">
        <v>1295</v>
      </c>
      <c r="D11" s="159" t="s">
        <v>1296</v>
      </c>
      <c r="E11" s="164" t="s">
        <v>1301</v>
      </c>
      <c r="F11" s="190" t="s">
        <v>1278</v>
      </c>
      <c r="G11" s="190" t="s">
        <v>181</v>
      </c>
      <c r="H11" s="159" t="s">
        <v>1297</v>
      </c>
      <c r="I11" s="164" t="s">
        <v>1298</v>
      </c>
      <c r="J11" s="164" t="s">
        <v>1299</v>
      </c>
      <c r="K11" s="159" t="s">
        <v>1300</v>
      </c>
      <c r="L11" s="190">
        <v>10001138</v>
      </c>
      <c r="M11" s="159"/>
      <c r="N11" s="157"/>
      <c r="O11" s="157"/>
      <c r="P11" s="157"/>
      <c r="Q11" s="157"/>
      <c r="R11" s="157"/>
      <c r="S11" s="157"/>
      <c r="T11" s="186"/>
      <c r="U11" s="186"/>
    </row>
    <row r="12" spans="1:21" ht="27.6">
      <c r="A12" s="159">
        <v>6</v>
      </c>
      <c r="B12" s="642">
        <v>43916</v>
      </c>
      <c r="C12" s="159" t="s">
        <v>1310</v>
      </c>
      <c r="D12" s="159" t="s">
        <v>1311</v>
      </c>
      <c r="E12" s="164" t="s">
        <v>1312</v>
      </c>
      <c r="F12" s="190" t="s">
        <v>1278</v>
      </c>
      <c r="G12" s="190" t="s">
        <v>181</v>
      </c>
      <c r="H12" s="159" t="s">
        <v>1313</v>
      </c>
      <c r="I12" s="164" t="s">
        <v>1314</v>
      </c>
      <c r="J12" s="164" t="s">
        <v>1315</v>
      </c>
      <c r="K12" s="159" t="s">
        <v>1316</v>
      </c>
      <c r="L12" s="159" t="s">
        <v>1317</v>
      </c>
      <c r="M12" s="642"/>
      <c r="N12" s="157"/>
      <c r="O12" s="157"/>
      <c r="P12" s="157"/>
      <c r="Q12" s="157"/>
      <c r="R12" s="157"/>
      <c r="S12" s="157"/>
      <c r="T12" s="186"/>
      <c r="U12" s="186"/>
    </row>
    <row r="13" spans="1:21" ht="27.6">
      <c r="A13" s="159">
        <v>7</v>
      </c>
      <c r="B13" s="642">
        <v>43916</v>
      </c>
      <c r="C13" s="159" t="s">
        <v>1318</v>
      </c>
      <c r="D13" s="159" t="s">
        <v>1319</v>
      </c>
      <c r="E13" s="164" t="s">
        <v>1320</v>
      </c>
      <c r="F13" s="190" t="s">
        <v>1278</v>
      </c>
      <c r="G13" s="190" t="s">
        <v>183</v>
      </c>
      <c r="H13" s="159" t="s">
        <v>1321</v>
      </c>
      <c r="I13" s="164" t="s">
        <v>1322</v>
      </c>
      <c r="J13" s="164" t="s">
        <v>1323</v>
      </c>
      <c r="K13" s="159" t="s">
        <v>1316</v>
      </c>
      <c r="L13" s="190" t="s">
        <v>1317</v>
      </c>
      <c r="M13" s="642">
        <v>43917</v>
      </c>
      <c r="N13" s="157"/>
      <c r="O13" s="157"/>
      <c r="P13" s="157"/>
      <c r="Q13" s="157"/>
      <c r="R13" s="157"/>
      <c r="S13" s="157"/>
      <c r="T13" s="186"/>
      <c r="U13" s="186"/>
    </row>
    <row r="14" spans="1:21" ht="27.6">
      <c r="A14" s="159">
        <v>8</v>
      </c>
      <c r="B14" s="642">
        <v>43916</v>
      </c>
      <c r="C14" s="190" t="s">
        <v>1318</v>
      </c>
      <c r="D14" s="190" t="s">
        <v>1319</v>
      </c>
      <c r="E14" s="164" t="s">
        <v>1325</v>
      </c>
      <c r="F14" s="190" t="s">
        <v>1278</v>
      </c>
      <c r="G14" s="190" t="s">
        <v>183</v>
      </c>
      <c r="H14" s="190" t="s">
        <v>1321</v>
      </c>
      <c r="I14" s="164" t="s">
        <v>1326</v>
      </c>
      <c r="J14" s="164" t="s">
        <v>1327</v>
      </c>
      <c r="K14" s="190" t="s">
        <v>1316</v>
      </c>
      <c r="L14" s="190" t="s">
        <v>1317</v>
      </c>
      <c r="M14" s="642">
        <v>43917</v>
      </c>
      <c r="N14" s="157"/>
      <c r="O14" s="157"/>
      <c r="P14" s="157"/>
      <c r="Q14" s="157"/>
      <c r="R14" s="157"/>
      <c r="S14" s="157"/>
      <c r="T14" s="186"/>
      <c r="U14" s="186"/>
    </row>
    <row r="15" spans="1:21" ht="13.8">
      <c r="A15" s="159"/>
      <c r="B15" s="159"/>
      <c r="C15" s="159"/>
      <c r="D15" s="159"/>
      <c r="E15" s="164"/>
      <c r="F15" s="190"/>
      <c r="G15" s="190"/>
      <c r="H15" s="159"/>
      <c r="I15" s="164"/>
      <c r="J15" s="164"/>
      <c r="K15" s="159"/>
      <c r="L15" s="159"/>
      <c r="M15" s="159"/>
      <c r="N15" s="157"/>
      <c r="O15" s="157"/>
      <c r="P15" s="157"/>
      <c r="Q15" s="157"/>
      <c r="R15" s="157"/>
      <c r="S15" s="157"/>
      <c r="T15" s="186"/>
      <c r="U15" s="186"/>
    </row>
    <row r="16" spans="1:21" ht="13.8">
      <c r="A16" s="159"/>
      <c r="B16" s="159"/>
      <c r="C16" s="159"/>
      <c r="D16" s="159"/>
      <c r="E16" s="164"/>
      <c r="F16" s="190"/>
      <c r="G16" s="190"/>
      <c r="H16" s="159"/>
      <c r="I16" s="164"/>
      <c r="J16" s="164"/>
      <c r="K16" s="159"/>
      <c r="L16" s="159"/>
      <c r="M16" s="159"/>
      <c r="N16" s="157"/>
      <c r="O16" s="157"/>
      <c r="P16" s="157"/>
      <c r="Q16" s="157"/>
      <c r="R16" s="157"/>
      <c r="S16" s="157"/>
      <c r="T16" s="186"/>
      <c r="U16" s="186"/>
    </row>
    <row r="17" spans="1:13" ht="13.8">
      <c r="A17" s="159"/>
      <c r="B17" s="159"/>
      <c r="C17" s="159"/>
      <c r="D17" s="159"/>
      <c r="E17" s="164"/>
      <c r="F17" s="190"/>
      <c r="G17" s="190"/>
      <c r="H17" s="159"/>
      <c r="I17" s="164"/>
      <c r="J17" s="164"/>
      <c r="K17" s="159"/>
      <c r="L17" s="159"/>
      <c r="M17" s="159"/>
    </row>
    <row r="18" spans="1:13" ht="13.8">
      <c r="A18" s="159"/>
      <c r="B18" s="159"/>
      <c r="C18" s="159"/>
      <c r="D18" s="159"/>
      <c r="E18" s="164"/>
      <c r="F18" s="190"/>
      <c r="G18" s="190"/>
      <c r="H18" s="159"/>
      <c r="I18" s="164"/>
      <c r="J18" s="164"/>
      <c r="K18" s="159"/>
      <c r="L18" s="159"/>
      <c r="M18" s="159"/>
    </row>
    <row r="19" spans="1:13" ht="13.8">
      <c r="A19" s="159"/>
      <c r="B19" s="159"/>
      <c r="C19" s="159"/>
      <c r="D19" s="159"/>
      <c r="E19" s="164"/>
      <c r="F19" s="190"/>
      <c r="G19" s="190"/>
      <c r="H19" s="159"/>
      <c r="I19" s="164"/>
      <c r="J19" s="164"/>
      <c r="K19" s="159"/>
      <c r="L19" s="159"/>
      <c r="M19" s="159"/>
    </row>
    <row r="20" spans="1:13" ht="13.8">
      <c r="A20" s="159"/>
      <c r="B20" s="159"/>
      <c r="C20" s="159"/>
      <c r="D20" s="159"/>
      <c r="E20" s="164"/>
      <c r="F20" s="190"/>
      <c r="G20" s="190"/>
      <c r="H20" s="159"/>
      <c r="I20" s="164"/>
      <c r="J20" s="164"/>
      <c r="K20" s="159"/>
      <c r="L20" s="159"/>
      <c r="M20" s="159"/>
    </row>
    <row r="21" spans="1:13" ht="13.8">
      <c r="A21" s="159"/>
      <c r="B21" s="159"/>
      <c r="C21" s="159"/>
      <c r="D21" s="159"/>
      <c r="E21" s="164"/>
      <c r="F21" s="190"/>
      <c r="G21" s="190"/>
      <c r="H21" s="159"/>
      <c r="I21" s="164"/>
      <c r="J21" s="164"/>
      <c r="K21" s="159"/>
      <c r="L21" s="159"/>
      <c r="M21" s="159"/>
    </row>
    <row r="22" spans="1:13" ht="13.8">
      <c r="A22" s="159"/>
      <c r="B22" s="159"/>
      <c r="C22" s="159"/>
      <c r="D22" s="159"/>
      <c r="E22" s="164"/>
      <c r="F22" s="190"/>
      <c r="G22" s="190"/>
      <c r="H22" s="159"/>
      <c r="I22" s="164"/>
      <c r="J22" s="164"/>
      <c r="K22" s="159"/>
      <c r="L22" s="159"/>
      <c r="M22" s="159"/>
    </row>
    <row r="23" spans="1:13" ht="13.8">
      <c r="A23" s="159"/>
      <c r="B23" s="159"/>
      <c r="C23" s="159"/>
      <c r="D23" s="159"/>
      <c r="E23" s="164"/>
      <c r="F23" s="190"/>
      <c r="G23" s="190"/>
      <c r="H23" s="159"/>
      <c r="I23" s="164"/>
      <c r="J23" s="164"/>
      <c r="K23" s="159"/>
      <c r="L23" s="159"/>
      <c r="M23" s="159"/>
    </row>
    <row r="24" spans="1:13" ht="13.8">
      <c r="A24" s="159"/>
      <c r="B24" s="159"/>
      <c r="C24" s="159"/>
      <c r="D24" s="159"/>
      <c r="E24" s="164"/>
      <c r="F24" s="190"/>
      <c r="G24" s="190"/>
      <c r="H24" s="159"/>
      <c r="I24" s="164"/>
      <c r="J24" s="164"/>
      <c r="K24" s="159"/>
      <c r="L24" s="159"/>
      <c r="M24" s="159"/>
    </row>
    <row r="25" spans="1:13" ht="13.8">
      <c r="A25" s="159"/>
      <c r="B25" s="159"/>
      <c r="C25" s="159"/>
      <c r="D25" s="159"/>
      <c r="E25" s="164"/>
      <c r="F25" s="190"/>
      <c r="G25" s="190"/>
      <c r="H25" s="159"/>
      <c r="I25" s="164"/>
      <c r="J25" s="164"/>
      <c r="K25" s="159"/>
      <c r="L25" s="159"/>
      <c r="M25" s="159"/>
    </row>
    <row r="26" spans="1:13" ht="13.8">
      <c r="A26" s="159"/>
      <c r="B26" s="159"/>
      <c r="C26" s="159"/>
      <c r="D26" s="159"/>
      <c r="E26" s="164"/>
      <c r="F26" s="190"/>
      <c r="G26" s="190"/>
      <c r="H26" s="159"/>
      <c r="I26" s="164"/>
      <c r="J26" s="164"/>
      <c r="K26" s="159"/>
      <c r="L26" s="159"/>
      <c r="M26" s="159"/>
    </row>
    <row r="27" spans="1:13" ht="13.8">
      <c r="A27" s="159"/>
      <c r="B27" s="159"/>
      <c r="C27" s="159"/>
      <c r="D27" s="159"/>
      <c r="E27" s="164"/>
      <c r="F27" s="190"/>
      <c r="G27" s="190"/>
      <c r="H27" s="159"/>
      <c r="I27" s="164"/>
      <c r="J27" s="164"/>
      <c r="K27" s="159"/>
      <c r="L27" s="159"/>
      <c r="M27" s="159"/>
    </row>
    <row r="28" spans="1:13" ht="13.8">
      <c r="A28" s="159"/>
      <c r="B28" s="159"/>
      <c r="C28" s="159"/>
      <c r="D28" s="159"/>
      <c r="E28" s="164"/>
      <c r="F28" s="190"/>
      <c r="G28" s="190"/>
      <c r="H28" s="159"/>
      <c r="I28" s="164"/>
      <c r="J28" s="164"/>
      <c r="K28" s="159"/>
      <c r="L28" s="159"/>
      <c r="M28" s="159"/>
    </row>
    <row r="29" spans="1:13" ht="13.8">
      <c r="A29" s="159"/>
      <c r="B29" s="159"/>
      <c r="C29" s="159"/>
      <c r="D29" s="159"/>
      <c r="E29" s="164"/>
      <c r="F29" s="190"/>
      <c r="G29" s="190"/>
      <c r="H29" s="159"/>
      <c r="I29" s="164"/>
      <c r="J29" s="164"/>
      <c r="K29" s="159"/>
      <c r="L29" s="159"/>
      <c r="M29" s="159"/>
    </row>
    <row r="30" spans="1:13" ht="13.8">
      <c r="A30" s="159"/>
      <c r="B30" s="159"/>
      <c r="C30" s="159"/>
      <c r="D30" s="159"/>
      <c r="E30" s="164"/>
      <c r="F30" s="190"/>
      <c r="G30" s="190"/>
      <c r="H30" s="159"/>
      <c r="I30" s="164"/>
      <c r="J30" s="164"/>
      <c r="K30" s="159"/>
      <c r="L30" s="159"/>
      <c r="M30" s="159"/>
    </row>
    <row r="31" spans="1:13" ht="13.8">
      <c r="A31" s="159"/>
      <c r="B31" s="159"/>
      <c r="C31" s="159"/>
      <c r="D31" s="159"/>
      <c r="E31" s="164"/>
      <c r="F31" s="190"/>
      <c r="G31" s="190"/>
      <c r="H31" s="159"/>
      <c r="I31" s="164"/>
      <c r="J31" s="164"/>
      <c r="K31" s="159"/>
      <c r="L31" s="159"/>
      <c r="M31" s="159"/>
    </row>
    <row r="32" spans="1:13" ht="13.8">
      <c r="A32" s="159"/>
      <c r="B32" s="159"/>
      <c r="C32" s="159"/>
      <c r="D32" s="159"/>
      <c r="E32" s="164"/>
      <c r="F32" s="190"/>
      <c r="G32" s="190"/>
      <c r="H32" s="159"/>
      <c r="I32" s="164"/>
      <c r="J32" s="164"/>
      <c r="K32" s="159"/>
      <c r="L32" s="159"/>
      <c r="M32" s="159"/>
    </row>
    <row r="33" spans="1:13" ht="13.8">
      <c r="A33" s="159"/>
      <c r="B33" s="159"/>
      <c r="C33" s="159"/>
      <c r="D33" s="159"/>
      <c r="E33" s="164"/>
      <c r="F33" s="190"/>
      <c r="G33" s="190"/>
      <c r="H33" s="159"/>
      <c r="I33" s="164"/>
      <c r="J33" s="164"/>
      <c r="K33" s="159"/>
      <c r="L33" s="159"/>
      <c r="M33" s="159"/>
    </row>
    <row r="34" spans="1:13" ht="13.8">
      <c r="A34" s="159"/>
      <c r="B34" s="159"/>
      <c r="C34" s="159"/>
      <c r="D34" s="159"/>
      <c r="E34" s="164"/>
      <c r="F34" s="190"/>
      <c r="G34" s="190"/>
      <c r="H34" s="159"/>
      <c r="I34" s="164"/>
      <c r="J34" s="164"/>
      <c r="K34" s="159"/>
      <c r="L34" s="159"/>
      <c r="M34" s="159"/>
    </row>
    <row r="35" spans="1:13" ht="13.8">
      <c r="A35" s="159"/>
      <c r="B35" s="159"/>
      <c r="C35" s="159"/>
      <c r="D35" s="159"/>
      <c r="E35" s="164"/>
      <c r="F35" s="190"/>
      <c r="G35" s="190"/>
      <c r="H35" s="159"/>
      <c r="I35" s="164"/>
      <c r="J35" s="164"/>
      <c r="K35" s="159"/>
      <c r="L35" s="159"/>
      <c r="M35" s="159"/>
    </row>
    <row r="36" spans="1:13" ht="13.8">
      <c r="A36" s="159"/>
      <c r="B36" s="159"/>
      <c r="C36" s="159"/>
      <c r="D36" s="159"/>
      <c r="E36" s="164"/>
      <c r="F36" s="190"/>
      <c r="G36" s="190"/>
      <c r="H36" s="159"/>
      <c r="I36" s="164"/>
      <c r="J36" s="164"/>
      <c r="K36" s="159"/>
      <c r="L36" s="159"/>
      <c r="M36" s="159"/>
    </row>
    <row r="37" spans="1:13" ht="13.8">
      <c r="A37" s="159"/>
      <c r="B37" s="159"/>
      <c r="C37" s="159"/>
      <c r="D37" s="159"/>
      <c r="E37" s="164"/>
      <c r="F37" s="190"/>
      <c r="G37" s="190"/>
      <c r="H37" s="159"/>
      <c r="I37" s="164"/>
      <c r="J37" s="164"/>
      <c r="K37" s="159"/>
      <c r="L37" s="159"/>
      <c r="M37" s="159"/>
    </row>
    <row r="38" spans="1:13" ht="13.8">
      <c r="A38" s="159"/>
      <c r="B38" s="159"/>
      <c r="C38" s="159"/>
      <c r="D38" s="159"/>
      <c r="E38" s="164"/>
      <c r="F38" s="190"/>
      <c r="G38" s="190"/>
      <c r="H38" s="159"/>
      <c r="I38" s="164"/>
      <c r="J38" s="164"/>
      <c r="K38" s="159"/>
      <c r="L38" s="159"/>
      <c r="M38" s="159"/>
    </row>
    <row r="39" spans="1:13" ht="13.8">
      <c r="A39" s="159"/>
      <c r="B39" s="159"/>
      <c r="C39" s="159"/>
      <c r="D39" s="159"/>
      <c r="E39" s="164"/>
      <c r="F39" s="190"/>
      <c r="G39" s="190"/>
      <c r="H39" s="159"/>
      <c r="I39" s="164"/>
      <c r="J39" s="164"/>
      <c r="K39" s="159"/>
      <c r="L39" s="159"/>
      <c r="M39" s="159"/>
    </row>
    <row r="40" spans="1:13" ht="13.8">
      <c r="A40" s="159"/>
      <c r="B40" s="159"/>
      <c r="C40" s="159"/>
      <c r="D40" s="159"/>
      <c r="E40" s="164"/>
      <c r="F40" s="190"/>
      <c r="G40" s="190"/>
      <c r="H40" s="159"/>
      <c r="I40" s="164"/>
      <c r="J40" s="164"/>
      <c r="K40" s="159"/>
      <c r="L40" s="159"/>
      <c r="M40" s="159"/>
    </row>
    <row r="41" spans="1:13" ht="13.8">
      <c r="A41" s="159"/>
      <c r="B41" s="159"/>
      <c r="C41" s="159"/>
      <c r="D41" s="159"/>
      <c r="E41" s="164"/>
      <c r="F41" s="190"/>
      <c r="G41" s="190"/>
      <c r="H41" s="159"/>
      <c r="I41" s="164"/>
      <c r="J41" s="164"/>
      <c r="K41" s="159"/>
      <c r="L41" s="159"/>
      <c r="M41" s="159"/>
    </row>
    <row r="42" spans="1:13" ht="13.8">
      <c r="A42" s="159"/>
      <c r="B42" s="159"/>
      <c r="C42" s="159"/>
      <c r="D42" s="159"/>
      <c r="E42" s="164"/>
      <c r="F42" s="190"/>
      <c r="G42" s="190"/>
      <c r="H42" s="159"/>
      <c r="I42" s="164"/>
      <c r="J42" s="164"/>
      <c r="K42" s="159"/>
      <c r="L42" s="159"/>
      <c r="M42" s="159"/>
    </row>
    <row r="43" spans="1:13" ht="13.8">
      <c r="A43" s="159"/>
      <c r="B43" s="159"/>
      <c r="C43" s="159"/>
      <c r="D43" s="159"/>
      <c r="E43" s="164"/>
      <c r="F43" s="190"/>
      <c r="G43" s="190"/>
      <c r="H43" s="159"/>
      <c r="I43" s="164"/>
      <c r="J43" s="164"/>
      <c r="K43" s="159"/>
      <c r="L43" s="159"/>
      <c r="M43" s="159"/>
    </row>
    <row r="44" spans="1:13" ht="13.8">
      <c r="A44" s="159"/>
      <c r="B44" s="159"/>
      <c r="C44" s="159"/>
      <c r="D44" s="159"/>
      <c r="E44" s="164"/>
      <c r="F44" s="190"/>
      <c r="G44" s="190"/>
      <c r="H44" s="159"/>
      <c r="I44" s="164"/>
      <c r="J44" s="164"/>
      <c r="K44" s="159"/>
      <c r="L44" s="159"/>
      <c r="M44" s="159"/>
    </row>
    <row r="45" spans="1:13" ht="13.8">
      <c r="A45" s="159"/>
      <c r="B45" s="159"/>
      <c r="C45" s="159"/>
      <c r="D45" s="159"/>
      <c r="E45" s="164"/>
      <c r="F45" s="190"/>
      <c r="G45" s="190"/>
      <c r="H45" s="159"/>
      <c r="I45" s="164"/>
      <c r="J45" s="164"/>
      <c r="K45" s="159"/>
      <c r="L45" s="159"/>
      <c r="M45" s="159"/>
    </row>
    <row r="46" spans="1:13" ht="13.8">
      <c r="A46" s="159"/>
      <c r="B46" s="159"/>
      <c r="C46" s="159"/>
      <c r="D46" s="159"/>
      <c r="E46" s="164"/>
      <c r="F46" s="190"/>
      <c r="G46" s="190"/>
      <c r="H46" s="159"/>
      <c r="I46" s="164"/>
      <c r="J46" s="164"/>
      <c r="K46" s="159"/>
      <c r="L46" s="159"/>
      <c r="M46" s="159"/>
    </row>
    <row r="47" spans="1:13" ht="13.8">
      <c r="A47" s="159"/>
      <c r="B47" s="159"/>
      <c r="C47" s="159"/>
      <c r="D47" s="159"/>
      <c r="E47" s="164"/>
      <c r="F47" s="190"/>
      <c r="G47" s="190"/>
      <c r="H47" s="159"/>
      <c r="I47" s="164"/>
      <c r="J47" s="164"/>
      <c r="K47" s="159"/>
      <c r="L47" s="159"/>
      <c r="M47" s="159"/>
    </row>
    <row r="48" spans="1:13" ht="13.8">
      <c r="A48" s="159"/>
      <c r="B48" s="159"/>
      <c r="C48" s="159"/>
      <c r="D48" s="159"/>
      <c r="E48" s="164"/>
      <c r="F48" s="190"/>
      <c r="G48" s="190"/>
      <c r="H48" s="159"/>
      <c r="I48" s="164"/>
      <c r="J48" s="164"/>
      <c r="K48" s="159"/>
      <c r="L48" s="159"/>
      <c r="M48" s="159"/>
    </row>
    <row r="49" spans="1:13" ht="13.8">
      <c r="A49" s="159"/>
      <c r="B49" s="159"/>
      <c r="C49" s="159"/>
      <c r="D49" s="159"/>
      <c r="E49" s="164"/>
      <c r="F49" s="190"/>
      <c r="G49" s="190"/>
      <c r="H49" s="159"/>
      <c r="I49" s="164"/>
      <c r="J49" s="164"/>
      <c r="K49" s="159"/>
      <c r="L49" s="159"/>
      <c r="M49" s="159"/>
    </row>
    <row r="50" spans="1:13" ht="13.8">
      <c r="A50" s="159"/>
      <c r="B50" s="159"/>
      <c r="C50" s="159"/>
      <c r="D50" s="159"/>
      <c r="E50" s="164"/>
      <c r="F50" s="190"/>
      <c r="G50" s="190"/>
      <c r="H50" s="159"/>
      <c r="I50" s="164"/>
      <c r="J50" s="164"/>
      <c r="K50" s="159"/>
      <c r="L50" s="159"/>
      <c r="M50" s="159"/>
    </row>
    <row r="51" spans="1:13" ht="13.8">
      <c r="A51" s="159"/>
      <c r="B51" s="159"/>
      <c r="C51" s="159"/>
      <c r="D51" s="159"/>
      <c r="E51" s="164"/>
      <c r="F51" s="190"/>
      <c r="G51" s="190"/>
      <c r="H51" s="159"/>
      <c r="I51" s="164"/>
      <c r="J51" s="164"/>
      <c r="K51" s="159"/>
      <c r="L51" s="159"/>
      <c r="M51" s="159"/>
    </row>
    <row r="52" spans="1:13" ht="13.8">
      <c r="A52" s="159"/>
      <c r="B52" s="159"/>
      <c r="C52" s="159"/>
      <c r="D52" s="159"/>
      <c r="E52" s="164"/>
      <c r="F52" s="190"/>
      <c r="G52" s="190"/>
      <c r="H52" s="159"/>
      <c r="I52" s="164"/>
      <c r="J52" s="164"/>
      <c r="K52" s="159"/>
      <c r="L52" s="159"/>
      <c r="M52" s="159"/>
    </row>
    <row r="53" spans="1:13" ht="13.8">
      <c r="A53" s="159"/>
      <c r="B53" s="159"/>
      <c r="C53" s="159"/>
      <c r="D53" s="159"/>
      <c r="E53" s="164"/>
      <c r="F53" s="190"/>
      <c r="G53" s="190"/>
      <c r="H53" s="159"/>
      <c r="I53" s="164"/>
      <c r="J53" s="164"/>
      <c r="K53" s="159"/>
      <c r="L53" s="159"/>
      <c r="M53" s="159"/>
    </row>
    <row r="54" spans="1:13" ht="13.8">
      <c r="A54" s="159"/>
      <c r="B54" s="159"/>
      <c r="C54" s="159"/>
      <c r="D54" s="159"/>
      <c r="E54" s="164"/>
      <c r="F54" s="190"/>
      <c r="G54" s="190"/>
      <c r="H54" s="159"/>
      <c r="I54" s="164"/>
      <c r="J54" s="164"/>
      <c r="K54" s="159"/>
      <c r="L54" s="159"/>
      <c r="M54" s="159"/>
    </row>
    <row r="55" spans="1:13" ht="13.8">
      <c r="A55" s="159"/>
      <c r="B55" s="159"/>
      <c r="C55" s="159"/>
      <c r="D55" s="159"/>
      <c r="E55" s="164"/>
      <c r="F55" s="190"/>
      <c r="G55" s="190"/>
      <c r="H55" s="159"/>
      <c r="I55" s="164"/>
      <c r="J55" s="164"/>
      <c r="K55" s="159"/>
      <c r="L55" s="159"/>
      <c r="M55" s="159"/>
    </row>
    <row r="56" spans="1:13" ht="13.8">
      <c r="A56" s="159"/>
      <c r="B56" s="159"/>
      <c r="C56" s="159"/>
      <c r="D56" s="159"/>
      <c r="E56" s="164"/>
      <c r="F56" s="190"/>
      <c r="G56" s="190"/>
      <c r="H56" s="159"/>
      <c r="I56" s="164"/>
      <c r="J56" s="164"/>
      <c r="K56" s="159"/>
      <c r="L56" s="159"/>
      <c r="M56" s="159"/>
    </row>
    <row r="57" spans="1:13" ht="13.8">
      <c r="A57" s="159"/>
      <c r="B57" s="159"/>
      <c r="C57" s="159"/>
      <c r="D57" s="159"/>
      <c r="E57" s="164"/>
      <c r="F57" s="190"/>
      <c r="G57" s="190"/>
      <c r="H57" s="159"/>
      <c r="I57" s="164"/>
      <c r="J57" s="164"/>
      <c r="K57" s="159"/>
      <c r="L57" s="159"/>
      <c r="M57" s="159"/>
    </row>
    <row r="58" spans="1:13" ht="13.8">
      <c r="A58" s="159"/>
      <c r="B58" s="159"/>
      <c r="C58" s="159"/>
      <c r="D58" s="159"/>
      <c r="E58" s="164"/>
      <c r="F58" s="190"/>
      <c r="G58" s="190"/>
      <c r="H58" s="159"/>
      <c r="I58" s="164"/>
      <c r="J58" s="164"/>
      <c r="K58" s="159"/>
      <c r="L58" s="159"/>
      <c r="M58" s="159"/>
    </row>
    <row r="59" spans="1:13" ht="13.8">
      <c r="A59" s="159"/>
      <c r="B59" s="159"/>
      <c r="C59" s="159"/>
      <c r="D59" s="159"/>
      <c r="E59" s="164"/>
      <c r="F59" s="190"/>
      <c r="G59" s="190"/>
      <c r="H59" s="159"/>
      <c r="I59" s="164"/>
      <c r="J59" s="164"/>
      <c r="K59" s="159"/>
      <c r="L59" s="159"/>
      <c r="M59" s="159"/>
    </row>
    <row r="60" spans="1:13" ht="13.8">
      <c r="A60" s="159"/>
      <c r="B60" s="159"/>
      <c r="C60" s="159"/>
      <c r="D60" s="159"/>
      <c r="E60" s="164"/>
      <c r="F60" s="190"/>
      <c r="G60" s="190"/>
      <c r="H60" s="159"/>
      <c r="I60" s="164"/>
      <c r="J60" s="164"/>
      <c r="K60" s="159"/>
      <c r="L60" s="159"/>
      <c r="M60" s="159"/>
    </row>
    <row r="61" spans="1:13" ht="13.8">
      <c r="A61" s="159"/>
      <c r="B61" s="159"/>
      <c r="C61" s="159"/>
      <c r="D61" s="159"/>
      <c r="E61" s="164"/>
      <c r="F61" s="190"/>
      <c r="G61" s="190"/>
      <c r="H61" s="159"/>
      <c r="I61" s="164"/>
      <c r="J61" s="164"/>
      <c r="K61" s="159"/>
      <c r="L61" s="159"/>
      <c r="M61" s="159"/>
    </row>
    <row r="62" spans="1:13" ht="13.8">
      <c r="A62" s="159"/>
      <c r="B62" s="159"/>
      <c r="C62" s="159"/>
      <c r="D62" s="159"/>
      <c r="E62" s="164"/>
      <c r="F62" s="190"/>
      <c r="G62" s="190"/>
      <c r="H62" s="159"/>
      <c r="I62" s="164"/>
      <c r="J62" s="164"/>
      <c r="K62" s="159"/>
      <c r="L62" s="159"/>
      <c r="M62" s="159"/>
    </row>
    <row r="63" spans="1:13" ht="13.8">
      <c r="A63" s="159"/>
      <c r="B63" s="159"/>
      <c r="C63" s="159"/>
      <c r="D63" s="159"/>
      <c r="E63" s="164"/>
      <c r="F63" s="190"/>
      <c r="G63" s="190"/>
      <c r="H63" s="159"/>
      <c r="I63" s="164"/>
      <c r="J63" s="164"/>
      <c r="K63" s="159"/>
      <c r="L63" s="159"/>
      <c r="M63" s="159"/>
    </row>
    <row r="64" spans="1:13" ht="13.8">
      <c r="A64" s="159"/>
      <c r="B64" s="159"/>
      <c r="C64" s="159"/>
      <c r="D64" s="159"/>
      <c r="E64" s="164"/>
      <c r="F64" s="190"/>
      <c r="G64" s="190"/>
      <c r="H64" s="159"/>
      <c r="I64" s="164"/>
      <c r="J64" s="164"/>
      <c r="K64" s="159"/>
      <c r="L64" s="159"/>
      <c r="M64" s="159"/>
    </row>
    <row r="65" spans="1:13" ht="13.8">
      <c r="A65" s="159"/>
      <c r="B65" s="159"/>
      <c r="C65" s="159"/>
      <c r="D65" s="159"/>
      <c r="E65" s="164"/>
      <c r="F65" s="190"/>
      <c r="G65" s="190"/>
      <c r="H65" s="159"/>
      <c r="I65" s="164"/>
      <c r="J65" s="164"/>
      <c r="K65" s="159"/>
      <c r="L65" s="159"/>
      <c r="M65" s="159"/>
    </row>
    <row r="66" spans="1:13" ht="13.8">
      <c r="A66" s="159"/>
      <c r="B66" s="159"/>
      <c r="C66" s="159"/>
      <c r="D66" s="159"/>
      <c r="E66" s="164"/>
      <c r="F66" s="190"/>
      <c r="G66" s="190"/>
      <c r="H66" s="159"/>
      <c r="I66" s="164"/>
      <c r="J66" s="164"/>
      <c r="K66" s="159"/>
      <c r="L66" s="159"/>
      <c r="M66" s="159"/>
    </row>
    <row r="67" spans="1:13" ht="13.8">
      <c r="A67" s="159"/>
      <c r="B67" s="159"/>
      <c r="C67" s="159"/>
      <c r="D67" s="159"/>
      <c r="E67" s="164"/>
      <c r="F67" s="190"/>
      <c r="G67" s="190"/>
      <c r="H67" s="159"/>
      <c r="I67" s="164"/>
      <c r="J67" s="164"/>
      <c r="K67" s="159"/>
      <c r="L67" s="159"/>
      <c r="M67" s="159"/>
    </row>
    <row r="68" spans="1:13" ht="13.8">
      <c r="A68" s="159"/>
      <c r="B68" s="159"/>
      <c r="C68" s="159"/>
      <c r="D68" s="159"/>
      <c r="E68" s="164"/>
      <c r="F68" s="190"/>
      <c r="G68" s="190"/>
      <c r="H68" s="159"/>
      <c r="I68" s="164"/>
      <c r="J68" s="164"/>
      <c r="K68" s="159"/>
      <c r="L68" s="159"/>
      <c r="M68" s="159"/>
    </row>
    <row r="69" spans="1:13" ht="13.8">
      <c r="A69" s="159"/>
      <c r="B69" s="159"/>
      <c r="C69" s="159"/>
      <c r="D69" s="159"/>
      <c r="E69" s="164"/>
      <c r="F69" s="190"/>
      <c r="G69" s="190"/>
      <c r="H69" s="159"/>
      <c r="I69" s="164"/>
      <c r="J69" s="164"/>
      <c r="K69" s="159"/>
      <c r="L69" s="159"/>
      <c r="M69" s="159"/>
    </row>
    <row r="70" spans="1:13" ht="13.8">
      <c r="A70" s="159"/>
      <c r="B70" s="159"/>
      <c r="C70" s="159"/>
      <c r="D70" s="159"/>
      <c r="E70" s="164"/>
      <c r="F70" s="190"/>
      <c r="G70" s="190"/>
      <c r="H70" s="159"/>
      <c r="I70" s="164"/>
      <c r="J70" s="164"/>
      <c r="K70" s="159"/>
      <c r="L70" s="159"/>
      <c r="M70" s="159"/>
    </row>
    <row r="71" spans="1:13" ht="13.8">
      <c r="A71" s="159"/>
      <c r="B71" s="159"/>
      <c r="C71" s="159"/>
      <c r="D71" s="159"/>
      <c r="E71" s="164"/>
      <c r="F71" s="190"/>
      <c r="G71" s="190"/>
      <c r="H71" s="159"/>
      <c r="I71" s="164"/>
      <c r="J71" s="164"/>
      <c r="K71" s="159"/>
      <c r="L71" s="159"/>
      <c r="M71" s="159"/>
    </row>
    <row r="72" spans="1:13" ht="13.8">
      <c r="A72" s="159"/>
      <c r="B72" s="159"/>
      <c r="C72" s="159"/>
      <c r="D72" s="159"/>
      <c r="E72" s="164"/>
      <c r="F72" s="190"/>
      <c r="G72" s="190"/>
      <c r="H72" s="159"/>
      <c r="I72" s="164"/>
      <c r="J72" s="164"/>
      <c r="K72" s="159"/>
      <c r="L72" s="159"/>
      <c r="M72" s="159"/>
    </row>
    <row r="73" spans="1:13" ht="13.8">
      <c r="A73" s="159"/>
      <c r="B73" s="159"/>
      <c r="C73" s="159"/>
      <c r="D73" s="159"/>
      <c r="E73" s="164"/>
      <c r="F73" s="190"/>
      <c r="G73" s="190"/>
      <c r="H73" s="159"/>
      <c r="I73" s="164"/>
      <c r="J73" s="164"/>
      <c r="K73" s="159"/>
      <c r="L73" s="159"/>
      <c r="M73" s="159"/>
    </row>
    <row r="74" spans="1:13" ht="13.8">
      <c r="A74" s="159"/>
      <c r="B74" s="159"/>
      <c r="C74" s="159"/>
      <c r="D74" s="159"/>
      <c r="E74" s="164"/>
      <c r="F74" s="190"/>
      <c r="G74" s="190"/>
      <c r="H74" s="159"/>
      <c r="I74" s="164"/>
      <c r="J74" s="164"/>
      <c r="K74" s="159"/>
      <c r="L74" s="159"/>
      <c r="M74" s="159"/>
    </row>
    <row r="75" spans="1:13" ht="13.8">
      <c r="A75" s="159"/>
      <c r="B75" s="159"/>
      <c r="C75" s="159"/>
      <c r="D75" s="159"/>
      <c r="E75" s="164"/>
      <c r="F75" s="190"/>
      <c r="G75" s="190"/>
      <c r="H75" s="159"/>
      <c r="I75" s="164"/>
      <c r="J75" s="164"/>
      <c r="K75" s="159"/>
      <c r="L75" s="159"/>
      <c r="M75" s="159"/>
    </row>
    <row r="76" spans="1:13" ht="13.8">
      <c r="A76" s="159"/>
      <c r="B76" s="159"/>
      <c r="C76" s="159"/>
      <c r="D76" s="159"/>
      <c r="E76" s="164"/>
      <c r="F76" s="190"/>
      <c r="G76" s="190"/>
      <c r="H76" s="159"/>
      <c r="I76" s="164"/>
      <c r="J76" s="164"/>
      <c r="K76" s="159"/>
      <c r="L76" s="159"/>
      <c r="M76" s="159"/>
    </row>
    <row r="77" spans="1:13" ht="13.8">
      <c r="A77" s="159"/>
      <c r="B77" s="159"/>
      <c r="C77" s="159"/>
      <c r="D77" s="159"/>
      <c r="E77" s="164"/>
      <c r="F77" s="190"/>
      <c r="G77" s="190"/>
      <c r="H77" s="159"/>
      <c r="I77" s="164"/>
      <c r="J77" s="164"/>
      <c r="K77" s="159"/>
      <c r="L77" s="159"/>
      <c r="M77" s="159"/>
    </row>
    <row r="78" spans="1:13" ht="13.8">
      <c r="A78" s="159"/>
      <c r="B78" s="159"/>
      <c r="C78" s="159"/>
      <c r="D78" s="159"/>
      <c r="E78" s="164"/>
      <c r="F78" s="190"/>
      <c r="G78" s="190"/>
      <c r="H78" s="159"/>
      <c r="I78" s="164"/>
      <c r="J78" s="164"/>
      <c r="K78" s="159"/>
      <c r="L78" s="159"/>
      <c r="M78" s="159"/>
    </row>
    <row r="79" spans="1:13" ht="13.8">
      <c r="A79" s="159"/>
      <c r="B79" s="159"/>
      <c r="C79" s="159"/>
      <c r="D79" s="159"/>
      <c r="E79" s="164"/>
      <c r="F79" s="190"/>
      <c r="G79" s="190"/>
      <c r="H79" s="159"/>
      <c r="I79" s="164"/>
      <c r="J79" s="164"/>
      <c r="K79" s="159"/>
      <c r="L79" s="159"/>
      <c r="M79" s="159"/>
    </row>
    <row r="80" spans="1:13" ht="13.8">
      <c r="A80" s="159"/>
      <c r="B80" s="159"/>
      <c r="C80" s="159"/>
      <c r="D80" s="159"/>
      <c r="E80" s="164"/>
      <c r="F80" s="190"/>
      <c r="G80" s="190"/>
      <c r="H80" s="159"/>
      <c r="I80" s="164"/>
      <c r="J80" s="164"/>
      <c r="K80" s="159"/>
      <c r="L80" s="159"/>
      <c r="M80" s="159"/>
    </row>
    <row r="81" spans="1:13" ht="13.8">
      <c r="A81" s="159"/>
      <c r="B81" s="159"/>
      <c r="C81" s="159"/>
      <c r="D81" s="159"/>
      <c r="E81" s="164"/>
      <c r="F81" s="190"/>
      <c r="G81" s="190"/>
      <c r="H81" s="159"/>
      <c r="I81" s="164"/>
      <c r="J81" s="164"/>
      <c r="K81" s="159"/>
      <c r="L81" s="159"/>
      <c r="M81" s="159"/>
    </row>
    <row r="82" spans="1:13" ht="13.8">
      <c r="A82" s="159"/>
      <c r="B82" s="159"/>
      <c r="C82" s="159"/>
      <c r="D82" s="159"/>
      <c r="E82" s="164"/>
      <c r="F82" s="190"/>
      <c r="G82" s="190"/>
      <c r="H82" s="159"/>
      <c r="I82" s="164"/>
      <c r="J82" s="164"/>
      <c r="K82" s="159"/>
      <c r="L82" s="159"/>
      <c r="M82" s="159"/>
    </row>
    <row r="83" spans="1:13" ht="13.8">
      <c r="A83" s="159"/>
      <c r="B83" s="159"/>
      <c r="C83" s="159"/>
      <c r="D83" s="159"/>
      <c r="E83" s="164"/>
      <c r="F83" s="190"/>
      <c r="G83" s="190"/>
      <c r="H83" s="159"/>
      <c r="I83" s="164"/>
      <c r="J83" s="164"/>
      <c r="K83" s="159"/>
      <c r="L83" s="159"/>
      <c r="M83" s="159"/>
    </row>
    <row r="84" spans="1:13" ht="13.8">
      <c r="A84" s="159"/>
      <c r="B84" s="159"/>
      <c r="C84" s="159"/>
      <c r="D84" s="159"/>
      <c r="E84" s="164"/>
      <c r="F84" s="190"/>
      <c r="G84" s="190"/>
      <c r="H84" s="159"/>
      <c r="I84" s="164"/>
      <c r="J84" s="164"/>
      <c r="K84" s="159"/>
      <c r="L84" s="159"/>
      <c r="M84" s="159"/>
    </row>
    <row r="85" spans="1:13" ht="13.8">
      <c r="A85" s="159"/>
      <c r="B85" s="159"/>
      <c r="C85" s="159"/>
      <c r="D85" s="159"/>
      <c r="E85" s="164"/>
      <c r="F85" s="190"/>
      <c r="G85" s="190"/>
      <c r="H85" s="159"/>
      <c r="I85" s="164"/>
      <c r="J85" s="164"/>
      <c r="K85" s="159"/>
      <c r="L85" s="159"/>
      <c r="M85" s="159"/>
    </row>
    <row r="86" spans="1:13" ht="13.8">
      <c r="A86" s="159"/>
      <c r="B86" s="159"/>
      <c r="C86" s="159"/>
      <c r="D86" s="159"/>
      <c r="E86" s="164"/>
      <c r="F86" s="190"/>
      <c r="G86" s="190"/>
      <c r="H86" s="159"/>
      <c r="I86" s="164"/>
      <c r="J86" s="164"/>
      <c r="K86" s="159"/>
      <c r="L86" s="159"/>
      <c r="M86" s="159"/>
    </row>
    <row r="87" spans="1:13" ht="13.8">
      <c r="A87" s="159"/>
      <c r="B87" s="159"/>
      <c r="C87" s="159"/>
      <c r="D87" s="159"/>
      <c r="E87" s="164"/>
      <c r="F87" s="190"/>
      <c r="G87" s="190"/>
      <c r="H87" s="159"/>
      <c r="I87" s="164"/>
      <c r="J87" s="164"/>
      <c r="K87" s="159"/>
      <c r="L87" s="159"/>
      <c r="M87" s="159"/>
    </row>
    <row r="88" spans="1:13" ht="13.8">
      <c r="A88" s="159"/>
      <c r="B88" s="159"/>
      <c r="C88" s="159"/>
      <c r="D88" s="159"/>
      <c r="E88" s="164"/>
      <c r="F88" s="190"/>
      <c r="G88" s="190"/>
      <c r="H88" s="159"/>
      <c r="I88" s="164"/>
      <c r="J88" s="164"/>
      <c r="K88" s="159"/>
      <c r="L88" s="159"/>
      <c r="M88" s="159"/>
    </row>
    <row r="89" spans="1:13" ht="13.8">
      <c r="A89" s="159"/>
      <c r="B89" s="159"/>
      <c r="C89" s="159"/>
      <c r="D89" s="159"/>
      <c r="E89" s="164"/>
      <c r="F89" s="190"/>
      <c r="G89" s="190"/>
      <c r="H89" s="159"/>
      <c r="I89" s="164"/>
      <c r="J89" s="164"/>
      <c r="K89" s="159"/>
      <c r="L89" s="159"/>
      <c r="M89" s="159"/>
    </row>
    <row r="90" spans="1:13" ht="13.8">
      <c r="A90" s="159"/>
      <c r="B90" s="159"/>
      <c r="C90" s="159"/>
      <c r="D90" s="159"/>
      <c r="E90" s="164"/>
      <c r="F90" s="190"/>
      <c r="G90" s="190"/>
      <c r="H90" s="159"/>
      <c r="I90" s="164"/>
      <c r="J90" s="164"/>
      <c r="K90" s="159"/>
      <c r="L90" s="159"/>
      <c r="M90" s="159"/>
    </row>
    <row r="91" spans="1:13" ht="13.8">
      <c r="A91" s="159"/>
      <c r="B91" s="159"/>
      <c r="C91" s="159"/>
      <c r="D91" s="159"/>
      <c r="E91" s="164"/>
      <c r="F91" s="190"/>
      <c r="G91" s="190"/>
      <c r="H91" s="159"/>
      <c r="I91" s="164"/>
      <c r="J91" s="164"/>
      <c r="K91" s="159"/>
      <c r="L91" s="159"/>
      <c r="M91" s="159"/>
    </row>
    <row r="92" spans="1:13" ht="13.8">
      <c r="A92" s="159"/>
      <c r="B92" s="159"/>
      <c r="C92" s="159"/>
      <c r="D92" s="159"/>
      <c r="E92" s="164"/>
      <c r="F92" s="190"/>
      <c r="G92" s="190"/>
      <c r="H92" s="159"/>
      <c r="I92" s="164"/>
      <c r="J92" s="164"/>
      <c r="K92" s="159"/>
      <c r="L92" s="159"/>
      <c r="M92" s="159"/>
    </row>
    <row r="93" spans="1:13" ht="13.8">
      <c r="A93" s="159"/>
      <c r="B93" s="159"/>
      <c r="C93" s="159"/>
      <c r="D93" s="159"/>
      <c r="E93" s="164"/>
      <c r="F93" s="190"/>
      <c r="G93" s="190"/>
      <c r="H93" s="159"/>
      <c r="I93" s="164"/>
      <c r="J93" s="164"/>
      <c r="K93" s="159"/>
      <c r="L93" s="159"/>
      <c r="M93" s="159"/>
    </row>
    <row r="94" spans="1:13" ht="13.8">
      <c r="A94" s="159"/>
      <c r="B94" s="159"/>
      <c r="C94" s="159"/>
      <c r="D94" s="159"/>
      <c r="E94" s="164"/>
      <c r="F94" s="190"/>
      <c r="G94" s="190"/>
      <c r="H94" s="159"/>
      <c r="I94" s="164"/>
      <c r="J94" s="164"/>
      <c r="K94" s="159"/>
      <c r="L94" s="159"/>
      <c r="M94" s="159"/>
    </row>
    <row r="95" spans="1:13" ht="13.8">
      <c r="A95" s="159"/>
      <c r="B95" s="159"/>
      <c r="C95" s="159"/>
      <c r="D95" s="159"/>
      <c r="E95" s="164"/>
      <c r="F95" s="190"/>
      <c r="G95" s="190"/>
      <c r="H95" s="159"/>
      <c r="I95" s="164"/>
      <c r="J95" s="164"/>
      <c r="K95" s="159"/>
      <c r="L95" s="159"/>
      <c r="M95" s="159"/>
    </row>
    <row r="96" spans="1:13" ht="13.8">
      <c r="A96" s="159"/>
      <c r="B96" s="159"/>
      <c r="C96" s="159"/>
      <c r="D96" s="159"/>
      <c r="E96" s="164"/>
      <c r="F96" s="190"/>
      <c r="G96" s="190"/>
      <c r="H96" s="159"/>
      <c r="I96" s="164"/>
      <c r="J96" s="164"/>
      <c r="K96" s="159"/>
      <c r="L96" s="159"/>
      <c r="M96" s="159"/>
    </row>
    <row r="97" spans="1:13" ht="13.8">
      <c r="A97" s="159"/>
      <c r="B97" s="159"/>
      <c r="C97" s="159"/>
      <c r="D97" s="159"/>
      <c r="E97" s="164"/>
      <c r="F97" s="190"/>
      <c r="G97" s="190"/>
      <c r="H97" s="159"/>
      <c r="I97" s="164"/>
      <c r="J97" s="164"/>
      <c r="K97" s="159"/>
      <c r="L97" s="159"/>
      <c r="M97" s="159"/>
    </row>
    <row r="98" spans="1:13" ht="13.8">
      <c r="A98" s="159"/>
      <c r="B98" s="159"/>
      <c r="C98" s="159"/>
      <c r="D98" s="159"/>
      <c r="E98" s="164"/>
      <c r="F98" s="190"/>
      <c r="G98" s="190"/>
      <c r="H98" s="159"/>
      <c r="I98" s="164"/>
      <c r="J98" s="164"/>
      <c r="K98" s="159"/>
      <c r="L98" s="159"/>
      <c r="M98" s="159"/>
    </row>
    <row r="99" spans="1:13" ht="13.8">
      <c r="A99" s="159"/>
      <c r="B99" s="159"/>
      <c r="C99" s="159"/>
      <c r="D99" s="159"/>
      <c r="E99" s="164"/>
      <c r="F99" s="190"/>
      <c r="G99" s="190"/>
      <c r="H99" s="159"/>
      <c r="I99" s="164"/>
      <c r="J99" s="164"/>
      <c r="K99" s="159"/>
      <c r="L99" s="159"/>
      <c r="M99" s="159"/>
    </row>
    <row r="100" spans="1:13" ht="13.8">
      <c r="A100" s="159"/>
      <c r="B100" s="159"/>
      <c r="C100" s="159"/>
      <c r="D100" s="159"/>
      <c r="E100" s="164"/>
      <c r="F100" s="190"/>
      <c r="G100" s="190"/>
      <c r="H100" s="159"/>
      <c r="I100" s="164"/>
      <c r="J100" s="164"/>
      <c r="K100" s="159"/>
      <c r="L100" s="159"/>
      <c r="M100" s="159"/>
    </row>
    <row r="101" spans="1:13" ht="13.8">
      <c r="A101" s="159"/>
      <c r="B101" s="159"/>
      <c r="C101" s="159"/>
      <c r="D101" s="159"/>
      <c r="E101" s="164"/>
      <c r="F101" s="190"/>
      <c r="G101" s="190"/>
      <c r="H101" s="159"/>
      <c r="I101" s="164"/>
      <c r="J101" s="164"/>
      <c r="K101" s="159"/>
      <c r="L101" s="159"/>
      <c r="M101" s="159"/>
    </row>
    <row r="102" spans="1:13" ht="13.8">
      <c r="A102" s="159"/>
      <c r="B102" s="159"/>
      <c r="C102" s="159"/>
      <c r="D102" s="159"/>
      <c r="E102" s="164"/>
      <c r="F102" s="190"/>
      <c r="G102" s="190"/>
      <c r="H102" s="159"/>
      <c r="I102" s="164"/>
      <c r="J102" s="164"/>
      <c r="K102" s="159"/>
      <c r="L102" s="159"/>
      <c r="M102" s="159"/>
    </row>
    <row r="103" spans="1:13" ht="13.8">
      <c r="A103" s="159"/>
      <c r="B103" s="159"/>
      <c r="C103" s="159"/>
      <c r="D103" s="159"/>
      <c r="E103" s="164"/>
      <c r="F103" s="190"/>
      <c r="G103" s="190"/>
      <c r="H103" s="159"/>
      <c r="I103" s="164"/>
      <c r="J103" s="164"/>
      <c r="K103" s="159"/>
      <c r="L103" s="159"/>
      <c r="M103" s="159"/>
    </row>
    <row r="104" spans="1:13" ht="13.8">
      <c r="A104" s="159"/>
      <c r="B104" s="159"/>
      <c r="C104" s="159"/>
      <c r="D104" s="159"/>
      <c r="E104" s="164"/>
      <c r="F104" s="190"/>
      <c r="G104" s="190"/>
      <c r="H104" s="159"/>
      <c r="I104" s="164"/>
      <c r="J104" s="164"/>
      <c r="K104" s="159"/>
      <c r="L104" s="159"/>
      <c r="M104" s="159"/>
    </row>
    <row r="105" spans="1:13" ht="13.8">
      <c r="A105" s="159"/>
      <c r="B105" s="159"/>
      <c r="C105" s="159"/>
      <c r="D105" s="159"/>
      <c r="E105" s="164"/>
      <c r="F105" s="190"/>
      <c r="G105" s="190"/>
      <c r="H105" s="159"/>
      <c r="I105" s="164"/>
      <c r="J105" s="164"/>
      <c r="K105" s="159"/>
      <c r="L105" s="159"/>
      <c r="M105" s="159"/>
    </row>
    <row r="106" spans="1:13" ht="13.8">
      <c r="A106" s="159"/>
      <c r="B106" s="159"/>
      <c r="C106" s="159"/>
      <c r="D106" s="159"/>
      <c r="E106" s="164"/>
      <c r="F106" s="190"/>
      <c r="G106" s="190"/>
      <c r="H106" s="159"/>
      <c r="I106" s="164"/>
      <c r="J106" s="164"/>
      <c r="K106" s="159"/>
      <c r="L106" s="159"/>
      <c r="M106" s="159"/>
    </row>
    <row r="107" spans="1:13" ht="13.8">
      <c r="A107" s="159"/>
      <c r="B107" s="159"/>
      <c r="C107" s="159"/>
      <c r="D107" s="159"/>
      <c r="E107" s="164"/>
      <c r="F107" s="190"/>
      <c r="G107" s="190"/>
      <c r="H107" s="159"/>
      <c r="I107" s="164"/>
      <c r="J107" s="164"/>
      <c r="K107" s="159"/>
      <c r="L107" s="159"/>
      <c r="M107" s="159"/>
    </row>
    <row r="108" spans="1:13" ht="13.8">
      <c r="A108" s="159"/>
      <c r="B108" s="159"/>
      <c r="C108" s="159"/>
      <c r="D108" s="159"/>
      <c r="E108" s="164"/>
      <c r="F108" s="190"/>
      <c r="G108" s="190"/>
      <c r="H108" s="159"/>
      <c r="I108" s="164"/>
      <c r="J108" s="164"/>
      <c r="K108" s="159"/>
      <c r="L108" s="159"/>
      <c r="M108" s="159"/>
    </row>
    <row r="109" spans="1:13" ht="13.8">
      <c r="A109" s="159"/>
      <c r="B109" s="159"/>
      <c r="C109" s="159"/>
      <c r="D109" s="159"/>
      <c r="E109" s="164"/>
      <c r="F109" s="190"/>
      <c r="G109" s="190"/>
      <c r="H109" s="159"/>
      <c r="I109" s="164"/>
      <c r="J109" s="164"/>
      <c r="K109" s="159"/>
      <c r="L109" s="159"/>
      <c r="M109" s="159"/>
    </row>
    <row r="110" spans="1:13" ht="13.8">
      <c r="A110" s="159"/>
      <c r="B110" s="159"/>
      <c r="C110" s="159"/>
      <c r="D110" s="159"/>
      <c r="E110" s="164"/>
      <c r="F110" s="190"/>
      <c r="G110" s="190"/>
      <c r="H110" s="159"/>
      <c r="I110" s="164"/>
      <c r="J110" s="164"/>
      <c r="K110" s="159"/>
      <c r="L110" s="159"/>
      <c r="M110" s="159"/>
    </row>
    <row r="111" spans="1:13" ht="13.8">
      <c r="A111" s="159"/>
      <c r="B111" s="159"/>
      <c r="C111" s="159"/>
      <c r="D111" s="159"/>
      <c r="E111" s="164"/>
      <c r="F111" s="190"/>
      <c r="G111" s="190"/>
      <c r="H111" s="159"/>
      <c r="I111" s="164"/>
      <c r="J111" s="164"/>
      <c r="K111" s="159"/>
      <c r="L111" s="159"/>
      <c r="M111" s="159"/>
    </row>
    <row r="112" spans="1:13" ht="13.8">
      <c r="A112" s="159"/>
      <c r="B112" s="159"/>
      <c r="C112" s="159"/>
      <c r="D112" s="159"/>
      <c r="E112" s="164"/>
      <c r="F112" s="190"/>
      <c r="G112" s="190"/>
      <c r="H112" s="159"/>
      <c r="I112" s="164"/>
      <c r="J112" s="164"/>
      <c r="K112" s="159"/>
      <c r="L112" s="159"/>
      <c r="M112" s="159"/>
    </row>
    <row r="113" spans="1:13" ht="13.8">
      <c r="A113" s="159"/>
      <c r="B113" s="159"/>
      <c r="C113" s="159"/>
      <c r="D113" s="159"/>
      <c r="E113" s="164"/>
      <c r="F113" s="190"/>
      <c r="G113" s="190"/>
      <c r="H113" s="159"/>
      <c r="I113" s="164"/>
      <c r="J113" s="164"/>
      <c r="K113" s="159"/>
      <c r="L113" s="159"/>
      <c r="M113" s="159"/>
    </row>
    <row r="114" spans="1:13" ht="13.8">
      <c r="A114" s="159"/>
      <c r="B114" s="159"/>
      <c r="C114" s="159"/>
      <c r="D114" s="159"/>
      <c r="E114" s="164"/>
      <c r="F114" s="190"/>
      <c r="G114" s="190"/>
      <c r="H114" s="159"/>
      <c r="I114" s="164"/>
      <c r="J114" s="164"/>
      <c r="K114" s="159"/>
      <c r="L114" s="159"/>
      <c r="M114" s="159"/>
    </row>
  </sheetData>
  <phoneticPr fontId="104" type="noConversion"/>
  <dataValidations count="2">
    <dataValidation type="list" allowBlank="1" showInputMessage="1" showErrorMessage="1" sqref="F7:F114" xr:uid="{00000000-0002-0000-0200-000000000000}">
      <formula1>issuecat</formula1>
    </dataValidation>
    <dataValidation type="list" allowBlank="1" showInputMessage="1" showErrorMessage="1" sqref="G7:G114" xr:uid="{00000000-0002-0000-0200-000001000000}">
      <formula1>issstatus</formula1>
    </dataValidation>
  </dataValidation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05"/>
  <sheetViews>
    <sheetView topLeftCell="A44" workbookViewId="0">
      <selection activeCell="B69" sqref="B69"/>
    </sheetView>
  </sheetViews>
  <sheetFormatPr defaultColWidth="9.109375" defaultRowHeight="13.8"/>
  <cols>
    <col min="1" max="1" width="11.109375" style="5" customWidth="1"/>
    <col min="2" max="2" width="97.44140625" style="5" customWidth="1"/>
    <col min="3" max="3" width="10.6640625" style="5" customWidth="1"/>
    <col min="4" max="4" width="9.109375" style="5" customWidth="1"/>
    <col min="5" max="5" width="9.5546875" style="5" customWidth="1"/>
    <col min="6" max="6" width="10.88671875" style="5" customWidth="1"/>
    <col min="7" max="16384" width="9.109375" style="5"/>
  </cols>
  <sheetData>
    <row r="1" spans="1:24" ht="17.399999999999999">
      <c r="A1" s="104" t="s">
        <v>6</v>
      </c>
      <c r="B1" s="141"/>
      <c r="C1" s="140"/>
      <c r="D1" s="140"/>
      <c r="E1" s="140"/>
      <c r="F1" s="140"/>
      <c r="G1" s="139"/>
      <c r="H1" s="165"/>
      <c r="I1" s="165"/>
      <c r="J1" s="166"/>
      <c r="K1" s="166"/>
      <c r="L1" s="166"/>
      <c r="M1" s="166"/>
      <c r="N1" s="166"/>
      <c r="O1" s="166"/>
      <c r="P1" s="166"/>
      <c r="Q1" s="166"/>
      <c r="R1" s="166"/>
      <c r="S1" s="156"/>
      <c r="T1" s="156"/>
      <c r="U1" s="156"/>
      <c r="V1" s="156"/>
      <c r="W1" s="156"/>
      <c r="X1" s="156"/>
    </row>
    <row r="2" spans="1:24">
      <c r="A2" s="142"/>
      <c r="B2" s="141"/>
      <c r="C2" s="140"/>
      <c r="D2" s="140"/>
      <c r="E2" s="140"/>
      <c r="F2" s="140"/>
      <c r="G2" s="139"/>
      <c r="H2" s="165"/>
      <c r="I2" s="165"/>
      <c r="J2" s="166"/>
      <c r="K2" s="166"/>
      <c r="L2" s="166"/>
      <c r="M2" s="166"/>
      <c r="N2" s="166"/>
      <c r="O2" s="166"/>
      <c r="P2" s="166"/>
      <c r="Q2" s="166"/>
      <c r="R2" s="166"/>
      <c r="S2" s="156"/>
      <c r="T2" s="156"/>
      <c r="U2" s="156"/>
      <c r="V2" s="156"/>
      <c r="W2" s="156"/>
      <c r="X2" s="156"/>
    </row>
    <row r="3" spans="1:24" ht="30">
      <c r="A3" s="106" t="s">
        <v>200</v>
      </c>
      <c r="B3" s="141"/>
      <c r="C3" s="140"/>
      <c r="D3" s="140"/>
      <c r="E3" s="140"/>
      <c r="F3" s="140"/>
      <c r="G3" s="139"/>
      <c r="H3" s="165"/>
      <c r="I3" s="165"/>
      <c r="J3" s="166"/>
      <c r="K3" s="166"/>
      <c r="L3" s="166"/>
      <c r="M3" s="166"/>
      <c r="N3" s="166"/>
      <c r="O3" s="166"/>
      <c r="P3" s="166"/>
      <c r="Q3" s="166"/>
      <c r="R3" s="166"/>
      <c r="S3" s="156"/>
      <c r="T3" s="156"/>
      <c r="U3" s="156"/>
      <c r="V3" s="156"/>
      <c r="W3" s="156"/>
      <c r="X3" s="156"/>
    </row>
    <row r="4" spans="1:24">
      <c r="A4" s="155"/>
      <c r="B4" s="141"/>
      <c r="C4" s="140"/>
      <c r="D4" s="140"/>
      <c r="E4" s="140"/>
      <c r="F4" s="147"/>
      <c r="G4" s="139"/>
      <c r="H4" s="165"/>
      <c r="I4" s="165"/>
      <c r="J4" s="166"/>
      <c r="K4" s="166"/>
      <c r="L4" s="166"/>
      <c r="M4" s="166"/>
      <c r="N4" s="166"/>
      <c r="O4" s="166"/>
      <c r="P4" s="166"/>
      <c r="Q4" s="166"/>
      <c r="R4" s="166"/>
      <c r="S4" s="156"/>
      <c r="T4" s="156"/>
      <c r="U4" s="156"/>
      <c r="V4" s="156"/>
      <c r="W4" s="156"/>
      <c r="X4" s="156"/>
    </row>
    <row r="5" spans="1:24">
      <c r="A5" s="155"/>
      <c r="B5" s="141"/>
      <c r="C5" s="140"/>
      <c r="D5" s="140"/>
      <c r="E5" s="167"/>
      <c r="F5" s="167"/>
      <c r="G5" s="167"/>
      <c r="H5" s="167"/>
      <c r="I5" s="167"/>
      <c r="J5" s="167"/>
      <c r="K5" s="167"/>
      <c r="L5" s="168"/>
      <c r="M5" s="167"/>
      <c r="N5" s="167"/>
      <c r="O5" s="167"/>
      <c r="P5" s="167"/>
      <c r="Q5" s="167"/>
      <c r="R5" s="167"/>
      <c r="S5" s="156"/>
      <c r="T5" s="156"/>
      <c r="U5" s="156"/>
      <c r="V5" s="156"/>
      <c r="W5" s="156"/>
    </row>
    <row r="6" spans="1:24">
      <c r="A6" s="170" t="s">
        <v>202</v>
      </c>
      <c r="B6" s="216" t="s">
        <v>105</v>
      </c>
      <c r="C6" s="170" t="s">
        <v>133</v>
      </c>
      <c r="D6" s="170" t="s">
        <v>189</v>
      </c>
      <c r="E6" s="170">
        <v>91999901</v>
      </c>
      <c r="F6" s="170">
        <v>91999902</v>
      </c>
      <c r="G6" s="170">
        <v>91999903</v>
      </c>
      <c r="H6" s="170">
        <v>91999904</v>
      </c>
      <c r="I6" s="170">
        <v>91999905</v>
      </c>
      <c r="J6" s="170">
        <v>91999906</v>
      </c>
      <c r="K6" s="170">
        <v>91999907</v>
      </c>
      <c r="L6" s="170">
        <v>91999908</v>
      </c>
      <c r="M6" s="170">
        <v>91999909</v>
      </c>
      <c r="N6" s="170">
        <v>91999910</v>
      </c>
      <c r="O6" s="170">
        <v>91999911</v>
      </c>
      <c r="P6" s="170">
        <v>91999912</v>
      </c>
      <c r="Q6" s="170">
        <v>91999913</v>
      </c>
      <c r="R6" s="170">
        <v>91999914</v>
      </c>
      <c r="S6" s="156"/>
      <c r="T6" s="156"/>
      <c r="U6" s="156"/>
      <c r="V6" s="156"/>
      <c r="W6" s="156"/>
    </row>
    <row r="7" spans="1:24">
      <c r="A7" s="169"/>
      <c r="B7" s="216"/>
      <c r="C7" s="170"/>
      <c r="D7" s="170"/>
      <c r="E7" s="170" t="s">
        <v>266</v>
      </c>
      <c r="F7" s="170" t="s">
        <v>265</v>
      </c>
      <c r="G7" s="170" t="s">
        <v>264</v>
      </c>
      <c r="H7" s="170" t="s">
        <v>263</v>
      </c>
      <c r="I7" s="170" t="s">
        <v>262</v>
      </c>
      <c r="J7" s="170" t="s">
        <v>261</v>
      </c>
      <c r="K7" s="170" t="s">
        <v>260</v>
      </c>
      <c r="L7" s="170" t="s">
        <v>259</v>
      </c>
      <c r="M7" s="170" t="s">
        <v>258</v>
      </c>
      <c r="N7" s="170" t="s">
        <v>257</v>
      </c>
      <c r="O7" s="170" t="s">
        <v>256</v>
      </c>
      <c r="P7" s="170" t="s">
        <v>255</v>
      </c>
      <c r="Q7" s="170" t="s">
        <v>254</v>
      </c>
      <c r="R7" s="170" t="s">
        <v>253</v>
      </c>
      <c r="S7" s="156"/>
      <c r="T7" s="156"/>
      <c r="U7" s="156"/>
      <c r="V7" s="156"/>
      <c r="W7" s="156"/>
    </row>
    <row r="8" spans="1:24">
      <c r="A8" s="171">
        <v>1</v>
      </c>
      <c r="B8" s="222" t="s">
        <v>205</v>
      </c>
      <c r="C8" s="580">
        <v>1</v>
      </c>
      <c r="D8" s="172" t="s">
        <v>203</v>
      </c>
      <c r="E8" s="173" t="s">
        <v>206</v>
      </c>
      <c r="F8" s="173" t="s">
        <v>206</v>
      </c>
      <c r="G8" s="173" t="s">
        <v>206</v>
      </c>
      <c r="H8" s="173" t="s">
        <v>206</v>
      </c>
      <c r="I8" s="173" t="s">
        <v>206</v>
      </c>
      <c r="J8" s="173" t="s">
        <v>206</v>
      </c>
      <c r="K8" s="173" t="s">
        <v>206</v>
      </c>
      <c r="L8" s="173" t="s">
        <v>206</v>
      </c>
      <c r="M8" s="173" t="s">
        <v>206</v>
      </c>
      <c r="N8" s="173" t="s">
        <v>206</v>
      </c>
      <c r="O8" s="173" t="s">
        <v>206</v>
      </c>
      <c r="P8" s="173" t="s">
        <v>206</v>
      </c>
      <c r="Q8" s="173" t="s">
        <v>206</v>
      </c>
      <c r="R8" s="173" t="s">
        <v>206</v>
      </c>
      <c r="S8" s="156"/>
      <c r="T8" s="156"/>
      <c r="U8" s="156"/>
      <c r="V8" s="156"/>
      <c r="W8" s="156"/>
    </row>
    <row r="9" spans="1:24">
      <c r="A9" s="171">
        <f>A8+1</f>
        <v>2</v>
      </c>
      <c r="B9" s="222" t="s">
        <v>208</v>
      </c>
      <c r="C9" s="580">
        <v>1</v>
      </c>
      <c r="D9" s="218" t="s">
        <v>203</v>
      </c>
      <c r="E9" s="173"/>
      <c r="F9" s="173"/>
      <c r="G9" s="173" t="s">
        <v>206</v>
      </c>
      <c r="H9" s="173"/>
      <c r="I9" s="173"/>
      <c r="J9" s="174"/>
      <c r="K9" s="174"/>
      <c r="L9" s="174"/>
      <c r="M9" s="174"/>
      <c r="N9" s="174"/>
      <c r="O9" s="174"/>
      <c r="P9" s="174"/>
      <c r="Q9" s="174"/>
      <c r="R9" s="174"/>
      <c r="S9" s="156"/>
      <c r="T9" s="156"/>
      <c r="U9" s="156"/>
      <c r="V9" s="156"/>
      <c r="W9" s="156"/>
    </row>
    <row r="10" spans="1:24">
      <c r="A10" s="171">
        <f t="shared" ref="A10:A71" si="0">A9+1</f>
        <v>3</v>
      </c>
      <c r="B10" s="219" t="s">
        <v>210</v>
      </c>
      <c r="C10" s="580">
        <v>1</v>
      </c>
      <c r="D10" s="218" t="s">
        <v>203</v>
      </c>
      <c r="E10" s="173"/>
      <c r="F10" s="174"/>
      <c r="G10" s="174"/>
      <c r="H10" s="174"/>
      <c r="I10" s="174"/>
      <c r="J10" s="174"/>
      <c r="K10" s="174"/>
      <c r="L10" s="173" t="s">
        <v>206</v>
      </c>
      <c r="M10" s="174"/>
      <c r="N10" s="174"/>
      <c r="O10" s="174"/>
      <c r="P10" s="174"/>
      <c r="Q10" s="174"/>
      <c r="R10" s="174"/>
      <c r="S10" s="156"/>
      <c r="T10" s="156"/>
      <c r="U10" s="156"/>
      <c r="V10" s="156"/>
      <c r="W10" s="156"/>
      <c r="X10" s="156"/>
    </row>
    <row r="11" spans="1:24">
      <c r="A11" s="171">
        <f t="shared" si="0"/>
        <v>4</v>
      </c>
      <c r="B11" s="219" t="s">
        <v>211</v>
      </c>
      <c r="C11" s="580">
        <v>2</v>
      </c>
      <c r="D11" s="218" t="s">
        <v>203</v>
      </c>
      <c r="E11" s="579"/>
      <c r="F11" s="579"/>
      <c r="G11" s="579"/>
      <c r="H11" s="579"/>
      <c r="I11" s="579"/>
      <c r="J11" s="579"/>
      <c r="K11" s="579"/>
      <c r="L11" s="579"/>
      <c r="M11" s="173" t="s">
        <v>206</v>
      </c>
      <c r="N11" s="579"/>
      <c r="O11" s="579"/>
      <c r="P11" s="579"/>
      <c r="Q11" s="579"/>
      <c r="R11" s="579"/>
      <c r="S11" s="156"/>
      <c r="T11" s="156"/>
      <c r="U11" s="156"/>
      <c r="V11" s="156"/>
      <c r="W11" s="156"/>
      <c r="X11" s="156"/>
    </row>
    <row r="12" spans="1:24">
      <c r="A12" s="171">
        <f t="shared" si="0"/>
        <v>5</v>
      </c>
      <c r="B12" s="220" t="s">
        <v>212</v>
      </c>
      <c r="C12" s="580">
        <v>1</v>
      </c>
      <c r="D12" s="218" t="s">
        <v>203</v>
      </c>
      <c r="E12" s="173" t="s">
        <v>206</v>
      </c>
      <c r="F12" s="173" t="s">
        <v>206</v>
      </c>
      <c r="G12" s="173" t="s">
        <v>206</v>
      </c>
      <c r="H12" s="173" t="s">
        <v>206</v>
      </c>
      <c r="I12" s="173" t="s">
        <v>206</v>
      </c>
      <c r="J12" s="173" t="s">
        <v>206</v>
      </c>
      <c r="K12" s="173" t="s">
        <v>206</v>
      </c>
      <c r="L12" s="173" t="s">
        <v>206</v>
      </c>
      <c r="M12" s="173" t="s">
        <v>206</v>
      </c>
      <c r="N12" s="173" t="s">
        <v>206</v>
      </c>
      <c r="O12" s="173" t="s">
        <v>206</v>
      </c>
      <c r="P12" s="173" t="s">
        <v>206</v>
      </c>
      <c r="Q12" s="173" t="s">
        <v>206</v>
      </c>
      <c r="R12" s="173" t="s">
        <v>206</v>
      </c>
      <c r="S12" s="156"/>
      <c r="T12" s="156"/>
      <c r="U12" s="156"/>
      <c r="V12" s="156"/>
      <c r="W12" s="156"/>
      <c r="X12" s="156"/>
    </row>
    <row r="13" spans="1:24">
      <c r="A13" s="171">
        <f>A12+1</f>
        <v>6</v>
      </c>
      <c r="B13" s="220" t="s">
        <v>893</v>
      </c>
      <c r="C13" s="580">
        <v>1</v>
      </c>
      <c r="D13" s="218" t="s">
        <v>203</v>
      </c>
      <c r="E13" s="173"/>
      <c r="F13" s="174"/>
      <c r="G13" s="174"/>
      <c r="H13" s="174"/>
      <c r="I13" s="174"/>
      <c r="J13" s="174"/>
      <c r="K13" s="174"/>
      <c r="L13" s="174"/>
      <c r="M13" s="174"/>
      <c r="N13" s="174"/>
      <c r="O13" s="173" t="s">
        <v>206</v>
      </c>
      <c r="P13" s="174"/>
      <c r="Q13" s="174"/>
      <c r="R13" s="174"/>
      <c r="S13" s="156"/>
      <c r="T13" s="156"/>
      <c r="U13" s="156"/>
      <c r="V13" s="156"/>
      <c r="W13" s="156"/>
      <c r="X13" s="156"/>
    </row>
    <row r="14" spans="1:24">
      <c r="A14" s="171">
        <f t="shared" si="0"/>
        <v>7</v>
      </c>
      <c r="B14" s="220" t="s">
        <v>213</v>
      </c>
      <c r="C14" s="580">
        <v>1</v>
      </c>
      <c r="D14" s="218" t="s">
        <v>203</v>
      </c>
      <c r="E14" s="173" t="s">
        <v>206</v>
      </c>
      <c r="F14" s="173" t="s">
        <v>206</v>
      </c>
      <c r="G14" s="173" t="s">
        <v>206</v>
      </c>
      <c r="H14" s="173" t="s">
        <v>206</v>
      </c>
      <c r="I14" s="173" t="s">
        <v>206</v>
      </c>
      <c r="J14" s="173" t="s">
        <v>206</v>
      </c>
      <c r="K14" s="173" t="s">
        <v>206</v>
      </c>
      <c r="L14" s="173" t="s">
        <v>206</v>
      </c>
      <c r="M14" s="173" t="s">
        <v>206</v>
      </c>
      <c r="N14" s="173" t="s">
        <v>206</v>
      </c>
      <c r="O14" s="173" t="s">
        <v>206</v>
      </c>
      <c r="P14" s="173" t="s">
        <v>206</v>
      </c>
      <c r="Q14" s="173" t="s">
        <v>206</v>
      </c>
      <c r="R14" s="173" t="s">
        <v>206</v>
      </c>
      <c r="S14" s="150"/>
      <c r="T14" s="150"/>
      <c r="U14" s="150"/>
      <c r="V14" s="156"/>
      <c r="W14" s="156"/>
      <c r="X14" s="156"/>
    </row>
    <row r="15" spans="1:24">
      <c r="A15" s="171">
        <f t="shared" si="0"/>
        <v>8</v>
      </c>
      <c r="B15" s="220" t="s">
        <v>214</v>
      </c>
      <c r="C15" s="580">
        <v>1</v>
      </c>
      <c r="D15" s="218" t="s">
        <v>203</v>
      </c>
      <c r="E15" s="173" t="s">
        <v>206</v>
      </c>
      <c r="F15" s="173" t="s">
        <v>206</v>
      </c>
      <c r="G15" s="173" t="s">
        <v>206</v>
      </c>
      <c r="H15" s="173" t="s">
        <v>206</v>
      </c>
      <c r="I15" s="173" t="s">
        <v>206</v>
      </c>
      <c r="J15" s="173" t="s">
        <v>206</v>
      </c>
      <c r="K15" s="173" t="s">
        <v>206</v>
      </c>
      <c r="L15" s="173" t="s">
        <v>206</v>
      </c>
      <c r="M15" s="173" t="s">
        <v>206</v>
      </c>
      <c r="N15" s="173" t="s">
        <v>206</v>
      </c>
      <c r="O15" s="173" t="s">
        <v>206</v>
      </c>
      <c r="P15" s="173" t="s">
        <v>206</v>
      </c>
      <c r="Q15" s="173" t="s">
        <v>206</v>
      </c>
      <c r="R15" s="173" t="s">
        <v>206</v>
      </c>
      <c r="S15" s="150"/>
      <c r="T15" s="150"/>
      <c r="U15" s="150"/>
      <c r="V15" s="156"/>
      <c r="W15" s="156"/>
      <c r="X15" s="156"/>
    </row>
    <row r="16" spans="1:24">
      <c r="A16" s="171">
        <f t="shared" si="0"/>
        <v>9</v>
      </c>
      <c r="B16" s="220" t="s">
        <v>215</v>
      </c>
      <c r="C16" s="580">
        <v>1</v>
      </c>
      <c r="D16" s="218" t="s">
        <v>203</v>
      </c>
      <c r="E16" s="173" t="s">
        <v>206</v>
      </c>
      <c r="F16" s="173" t="s">
        <v>206</v>
      </c>
      <c r="G16" s="173" t="s">
        <v>206</v>
      </c>
      <c r="H16" s="173" t="s">
        <v>206</v>
      </c>
      <c r="I16" s="173" t="s">
        <v>206</v>
      </c>
      <c r="J16" s="173" t="s">
        <v>206</v>
      </c>
      <c r="K16" s="173" t="s">
        <v>206</v>
      </c>
      <c r="L16" s="173" t="s">
        <v>206</v>
      </c>
      <c r="M16" s="173" t="s">
        <v>206</v>
      </c>
      <c r="N16" s="173" t="s">
        <v>206</v>
      </c>
      <c r="O16" s="173" t="s">
        <v>206</v>
      </c>
      <c r="P16" s="173" t="s">
        <v>206</v>
      </c>
      <c r="Q16" s="173" t="s">
        <v>206</v>
      </c>
      <c r="R16" s="173" t="s">
        <v>206</v>
      </c>
      <c r="S16" s="150"/>
      <c r="T16" s="150"/>
      <c r="U16" s="150"/>
      <c r="V16" s="156"/>
      <c r="W16" s="156"/>
      <c r="X16" s="156"/>
    </row>
    <row r="17" spans="1:24">
      <c r="A17" s="217">
        <f t="shared" si="0"/>
        <v>10</v>
      </c>
      <c r="B17" s="220" t="s">
        <v>216</v>
      </c>
      <c r="C17" s="580">
        <v>1</v>
      </c>
      <c r="D17" s="218" t="s">
        <v>203</v>
      </c>
      <c r="E17" s="173" t="s">
        <v>206</v>
      </c>
      <c r="F17" s="173" t="s">
        <v>206</v>
      </c>
      <c r="G17" s="173" t="s">
        <v>206</v>
      </c>
      <c r="H17" s="173" t="s">
        <v>206</v>
      </c>
      <c r="I17" s="173" t="s">
        <v>206</v>
      </c>
      <c r="J17" s="173" t="s">
        <v>206</v>
      </c>
      <c r="K17" s="173" t="s">
        <v>206</v>
      </c>
      <c r="L17" s="173" t="s">
        <v>206</v>
      </c>
      <c r="M17" s="173" t="s">
        <v>206</v>
      </c>
      <c r="N17" s="173" t="s">
        <v>206</v>
      </c>
      <c r="O17" s="173" t="s">
        <v>206</v>
      </c>
      <c r="P17" s="173" t="s">
        <v>206</v>
      </c>
      <c r="Q17" s="173" t="s">
        <v>206</v>
      </c>
      <c r="R17" s="173" t="s">
        <v>206</v>
      </c>
      <c r="S17" s="150"/>
      <c r="T17" s="150"/>
      <c r="U17" s="150"/>
      <c r="V17" s="156"/>
      <c r="W17" s="156"/>
      <c r="X17" s="156"/>
    </row>
    <row r="18" spans="1:24">
      <c r="A18" s="217">
        <f t="shared" si="0"/>
        <v>11</v>
      </c>
      <c r="B18" s="220" t="s">
        <v>217</v>
      </c>
      <c r="C18" s="580">
        <v>1</v>
      </c>
      <c r="D18" s="218" t="s">
        <v>203</v>
      </c>
      <c r="E18" s="173" t="s">
        <v>206</v>
      </c>
      <c r="F18" s="173" t="s">
        <v>206</v>
      </c>
      <c r="G18" s="173" t="s">
        <v>206</v>
      </c>
      <c r="H18" s="173" t="s">
        <v>206</v>
      </c>
      <c r="I18" s="173" t="s">
        <v>206</v>
      </c>
      <c r="J18" s="173" t="s">
        <v>206</v>
      </c>
      <c r="K18" s="173" t="s">
        <v>206</v>
      </c>
      <c r="L18" s="173" t="s">
        <v>206</v>
      </c>
      <c r="M18" s="173" t="s">
        <v>206</v>
      </c>
      <c r="N18" s="173" t="s">
        <v>206</v>
      </c>
      <c r="O18" s="173" t="s">
        <v>206</v>
      </c>
      <c r="P18" s="173" t="s">
        <v>206</v>
      </c>
      <c r="Q18" s="173" t="s">
        <v>206</v>
      </c>
      <c r="R18" s="173" t="s">
        <v>206</v>
      </c>
      <c r="S18" s="150"/>
      <c r="T18" s="150"/>
      <c r="U18" s="150"/>
      <c r="V18" s="156"/>
      <c r="W18" s="156"/>
      <c r="X18" s="156"/>
    </row>
    <row r="19" spans="1:24">
      <c r="A19" s="217">
        <f t="shared" si="0"/>
        <v>12</v>
      </c>
      <c r="B19" s="220" t="s">
        <v>218</v>
      </c>
      <c r="C19" s="580">
        <v>1</v>
      </c>
      <c r="D19" s="218" t="s">
        <v>203</v>
      </c>
      <c r="E19" s="173" t="s">
        <v>206</v>
      </c>
      <c r="F19" s="173" t="s">
        <v>206</v>
      </c>
      <c r="G19" s="173" t="s">
        <v>206</v>
      </c>
      <c r="H19" s="173" t="s">
        <v>206</v>
      </c>
      <c r="I19" s="173" t="s">
        <v>206</v>
      </c>
      <c r="J19" s="173" t="s">
        <v>206</v>
      </c>
      <c r="K19" s="173" t="s">
        <v>206</v>
      </c>
      <c r="L19" s="173" t="s">
        <v>206</v>
      </c>
      <c r="M19" s="173" t="s">
        <v>206</v>
      </c>
      <c r="N19" s="173" t="s">
        <v>206</v>
      </c>
      <c r="O19" s="173" t="s">
        <v>206</v>
      </c>
      <c r="P19" s="173" t="s">
        <v>206</v>
      </c>
      <c r="Q19" s="173" t="s">
        <v>206</v>
      </c>
      <c r="R19" s="173" t="s">
        <v>206</v>
      </c>
      <c r="S19" s="150"/>
      <c r="T19" s="150"/>
      <c r="U19" s="150"/>
      <c r="V19" s="156"/>
      <c r="W19" s="156"/>
      <c r="X19" s="156"/>
    </row>
    <row r="20" spans="1:24">
      <c r="A20" s="217">
        <f t="shared" si="0"/>
        <v>13</v>
      </c>
      <c r="B20" s="220" t="s">
        <v>267</v>
      </c>
      <c r="C20" s="580">
        <v>1</v>
      </c>
      <c r="D20" s="218" t="s">
        <v>203</v>
      </c>
      <c r="E20" s="173" t="s">
        <v>206</v>
      </c>
      <c r="F20" s="173" t="s">
        <v>206</v>
      </c>
      <c r="G20" s="173" t="s">
        <v>206</v>
      </c>
      <c r="H20" s="173" t="s">
        <v>206</v>
      </c>
      <c r="I20" s="173"/>
      <c r="J20" s="173"/>
      <c r="K20" s="173" t="s">
        <v>206</v>
      </c>
      <c r="L20" s="173"/>
      <c r="M20" s="173"/>
      <c r="N20" s="173"/>
      <c r="O20" s="173"/>
      <c r="P20" s="173"/>
      <c r="Q20" s="173"/>
      <c r="R20" s="173"/>
      <c r="S20" s="150"/>
      <c r="T20" s="150"/>
      <c r="U20" s="150"/>
      <c r="V20" s="156"/>
      <c r="W20" s="156"/>
      <c r="X20" s="156"/>
    </row>
    <row r="21" spans="1:24">
      <c r="A21" s="217">
        <f t="shared" si="0"/>
        <v>14</v>
      </c>
      <c r="B21" s="220" t="s">
        <v>268</v>
      </c>
      <c r="C21" s="580">
        <v>1</v>
      </c>
      <c r="D21" s="218" t="s">
        <v>203</v>
      </c>
      <c r="E21" s="173"/>
      <c r="F21" s="174"/>
      <c r="G21" s="174"/>
      <c r="H21" s="174"/>
      <c r="I21" s="174"/>
      <c r="J21" s="174"/>
      <c r="K21" s="174"/>
      <c r="L21" s="174"/>
      <c r="M21" s="174"/>
      <c r="N21" s="174"/>
      <c r="O21" s="174"/>
      <c r="P21" s="174"/>
      <c r="Q21" s="174"/>
      <c r="R21" s="174"/>
      <c r="S21" s="150"/>
      <c r="T21" s="150"/>
      <c r="U21" s="150"/>
      <c r="V21" s="156"/>
      <c r="W21" s="156"/>
      <c r="X21" s="156"/>
    </row>
    <row r="22" spans="1:24">
      <c r="A22" s="217">
        <f t="shared" si="0"/>
        <v>15</v>
      </c>
      <c r="B22" s="220" t="s">
        <v>269</v>
      </c>
      <c r="C22" s="580">
        <v>1</v>
      </c>
      <c r="D22" s="218" t="s">
        <v>203</v>
      </c>
      <c r="E22" s="173" t="s">
        <v>206</v>
      </c>
      <c r="F22" s="173" t="s">
        <v>206</v>
      </c>
      <c r="G22" s="173" t="s">
        <v>206</v>
      </c>
      <c r="H22" s="173" t="s">
        <v>206</v>
      </c>
      <c r="I22" s="173" t="s">
        <v>206</v>
      </c>
      <c r="J22" s="173" t="s">
        <v>206</v>
      </c>
      <c r="K22" s="173" t="s">
        <v>206</v>
      </c>
      <c r="L22" s="173" t="s">
        <v>206</v>
      </c>
      <c r="M22" s="173" t="s">
        <v>206</v>
      </c>
      <c r="N22" s="173" t="s">
        <v>206</v>
      </c>
      <c r="O22" s="173" t="s">
        <v>206</v>
      </c>
      <c r="P22" s="173" t="s">
        <v>206</v>
      </c>
      <c r="Q22" s="173" t="s">
        <v>206</v>
      </c>
      <c r="R22" s="173" t="s">
        <v>206</v>
      </c>
      <c r="S22" s="150"/>
      <c r="T22" s="150"/>
      <c r="U22" s="150"/>
      <c r="V22" s="156"/>
      <c r="W22" s="156"/>
      <c r="X22" s="156"/>
    </row>
    <row r="23" spans="1:24">
      <c r="A23" s="217">
        <f t="shared" si="0"/>
        <v>16</v>
      </c>
      <c r="B23" s="220" t="s">
        <v>271</v>
      </c>
      <c r="C23" s="580">
        <v>1</v>
      </c>
      <c r="D23" s="218" t="s">
        <v>203</v>
      </c>
      <c r="E23" s="173" t="s">
        <v>206</v>
      </c>
      <c r="F23" s="173" t="s">
        <v>206</v>
      </c>
      <c r="G23" s="173" t="s">
        <v>206</v>
      </c>
      <c r="H23" s="173" t="s">
        <v>206</v>
      </c>
      <c r="I23" s="174"/>
      <c r="J23" s="173" t="s">
        <v>206</v>
      </c>
      <c r="K23" s="173" t="s">
        <v>206</v>
      </c>
      <c r="L23" s="173" t="s">
        <v>206</v>
      </c>
      <c r="M23" s="173" t="s">
        <v>206</v>
      </c>
      <c r="N23" s="174"/>
      <c r="O23" s="173" t="s">
        <v>206</v>
      </c>
      <c r="P23" s="174"/>
      <c r="Q23" s="174"/>
      <c r="R23" s="174"/>
      <c r="S23" s="150"/>
      <c r="T23" s="150"/>
      <c r="U23" s="150"/>
      <c r="V23" s="156"/>
      <c r="W23" s="156"/>
      <c r="X23" s="156"/>
    </row>
    <row r="24" spans="1:24">
      <c r="A24" s="217">
        <f t="shared" si="0"/>
        <v>17</v>
      </c>
      <c r="B24" s="220" t="s">
        <v>270</v>
      </c>
      <c r="C24" s="580">
        <v>1</v>
      </c>
      <c r="D24" s="218" t="s">
        <v>203</v>
      </c>
      <c r="E24" s="173" t="s">
        <v>206</v>
      </c>
      <c r="F24" s="173" t="s">
        <v>206</v>
      </c>
      <c r="G24" s="173" t="s">
        <v>206</v>
      </c>
      <c r="H24" s="173" t="s">
        <v>206</v>
      </c>
      <c r="I24" s="173"/>
      <c r="J24" s="173"/>
      <c r="K24" s="173" t="s">
        <v>206</v>
      </c>
      <c r="L24" s="173"/>
      <c r="M24" s="173"/>
      <c r="N24" s="173"/>
      <c r="O24" s="173"/>
      <c r="P24" s="173"/>
      <c r="Q24" s="173"/>
      <c r="R24" s="173"/>
      <c r="S24" s="150"/>
      <c r="T24" s="150"/>
      <c r="U24" s="150"/>
      <c r="V24" s="156"/>
      <c r="W24" s="156"/>
      <c r="X24" s="156"/>
    </row>
    <row r="25" spans="1:24">
      <c r="A25" s="217">
        <f t="shared" si="0"/>
        <v>18</v>
      </c>
      <c r="B25" s="220" t="s">
        <v>272</v>
      </c>
      <c r="C25" s="580">
        <v>1</v>
      </c>
      <c r="D25" s="218" t="s">
        <v>203</v>
      </c>
      <c r="E25" s="174"/>
      <c r="F25" s="174"/>
      <c r="G25" s="174"/>
      <c r="H25" s="174"/>
      <c r="I25" s="174"/>
      <c r="J25" s="174"/>
      <c r="K25" s="174"/>
      <c r="L25" s="174"/>
      <c r="M25" s="174"/>
      <c r="N25" s="174"/>
      <c r="O25" s="174"/>
      <c r="P25" s="174"/>
      <c r="Q25" s="174"/>
      <c r="R25" s="174"/>
      <c r="S25" s="150"/>
      <c r="T25" s="150"/>
      <c r="U25" s="150"/>
      <c r="V25" s="156"/>
      <c r="W25" s="156"/>
      <c r="X25" s="156"/>
    </row>
    <row r="26" spans="1:24">
      <c r="A26" s="217">
        <f t="shared" si="0"/>
        <v>19</v>
      </c>
      <c r="B26" s="220" t="s">
        <v>219</v>
      </c>
      <c r="C26" s="580">
        <v>1</v>
      </c>
      <c r="D26" s="218" t="s">
        <v>203</v>
      </c>
      <c r="E26" s="173" t="s">
        <v>206</v>
      </c>
      <c r="F26" s="173" t="s">
        <v>206</v>
      </c>
      <c r="G26" s="173" t="s">
        <v>206</v>
      </c>
      <c r="H26" s="173" t="s">
        <v>206</v>
      </c>
      <c r="I26" s="173" t="s">
        <v>206</v>
      </c>
      <c r="J26" s="173" t="s">
        <v>206</v>
      </c>
      <c r="K26" s="173" t="s">
        <v>206</v>
      </c>
      <c r="L26" s="173" t="s">
        <v>206</v>
      </c>
      <c r="M26" s="173" t="s">
        <v>206</v>
      </c>
      <c r="N26" s="173" t="s">
        <v>206</v>
      </c>
      <c r="O26" s="173" t="s">
        <v>206</v>
      </c>
      <c r="P26" s="173" t="s">
        <v>206</v>
      </c>
      <c r="Q26" s="173" t="s">
        <v>206</v>
      </c>
      <c r="R26" s="173" t="s">
        <v>206</v>
      </c>
      <c r="S26" s="150"/>
      <c r="T26" s="150"/>
      <c r="U26" s="150"/>
      <c r="V26" s="156"/>
      <c r="W26" s="156"/>
      <c r="X26" s="156"/>
    </row>
    <row r="27" spans="1:24">
      <c r="A27" s="217">
        <f t="shared" si="0"/>
        <v>20</v>
      </c>
      <c r="B27" s="220" t="s">
        <v>220</v>
      </c>
      <c r="C27" s="580">
        <v>1</v>
      </c>
      <c r="D27" s="218" t="s">
        <v>203</v>
      </c>
      <c r="E27" s="173" t="s">
        <v>206</v>
      </c>
      <c r="F27" s="173" t="s">
        <v>206</v>
      </c>
      <c r="G27" s="173" t="s">
        <v>206</v>
      </c>
      <c r="H27" s="173" t="s">
        <v>206</v>
      </c>
      <c r="I27" s="173" t="s">
        <v>206</v>
      </c>
      <c r="J27" s="173" t="s">
        <v>206</v>
      </c>
      <c r="K27" s="173" t="s">
        <v>206</v>
      </c>
      <c r="L27" s="173" t="s">
        <v>206</v>
      </c>
      <c r="M27" s="173" t="s">
        <v>206</v>
      </c>
      <c r="N27" s="173" t="s">
        <v>206</v>
      </c>
      <c r="O27" s="173" t="s">
        <v>206</v>
      </c>
      <c r="P27" s="173" t="s">
        <v>206</v>
      </c>
      <c r="Q27" s="173" t="s">
        <v>206</v>
      </c>
      <c r="R27" s="173" t="s">
        <v>206</v>
      </c>
      <c r="S27" s="150"/>
      <c r="T27" s="150"/>
      <c r="U27" s="150"/>
      <c r="V27" s="156"/>
      <c r="W27" s="156"/>
      <c r="X27" s="156"/>
    </row>
    <row r="28" spans="1:24">
      <c r="A28" s="603">
        <f t="shared" si="0"/>
        <v>21</v>
      </c>
      <c r="B28" s="220" t="s">
        <v>221</v>
      </c>
      <c r="C28" s="580">
        <v>1</v>
      </c>
      <c r="D28" s="218" t="s">
        <v>203</v>
      </c>
      <c r="E28" s="173" t="s">
        <v>206</v>
      </c>
      <c r="F28" s="173" t="s">
        <v>206</v>
      </c>
      <c r="G28" s="173" t="s">
        <v>206</v>
      </c>
      <c r="H28" s="173" t="s">
        <v>206</v>
      </c>
      <c r="I28" s="173" t="s">
        <v>206</v>
      </c>
      <c r="J28" s="173" t="s">
        <v>206</v>
      </c>
      <c r="K28" s="173" t="s">
        <v>206</v>
      </c>
      <c r="L28" s="173" t="s">
        <v>206</v>
      </c>
      <c r="M28" s="173" t="s">
        <v>206</v>
      </c>
      <c r="N28" s="173" t="s">
        <v>206</v>
      </c>
      <c r="O28" s="173" t="s">
        <v>206</v>
      </c>
      <c r="P28" s="173" t="s">
        <v>206</v>
      </c>
      <c r="Q28" s="173" t="s">
        <v>206</v>
      </c>
      <c r="R28" s="173" t="s">
        <v>206</v>
      </c>
      <c r="S28" s="150"/>
      <c r="T28" s="150"/>
      <c r="U28" s="150"/>
      <c r="V28" s="156"/>
      <c r="W28" s="156"/>
      <c r="X28" s="156"/>
    </row>
    <row r="29" spans="1:24">
      <c r="A29" s="217">
        <f t="shared" si="0"/>
        <v>22</v>
      </c>
      <c r="B29" s="220" t="s">
        <v>222</v>
      </c>
      <c r="C29" s="580">
        <v>1</v>
      </c>
      <c r="D29" s="218" t="s">
        <v>203</v>
      </c>
      <c r="E29" s="173" t="s">
        <v>206</v>
      </c>
      <c r="F29" s="173" t="s">
        <v>206</v>
      </c>
      <c r="G29" s="173" t="s">
        <v>206</v>
      </c>
      <c r="H29" s="173" t="s">
        <v>206</v>
      </c>
      <c r="I29" s="173" t="s">
        <v>206</v>
      </c>
      <c r="J29" s="173" t="s">
        <v>206</v>
      </c>
      <c r="K29" s="173" t="s">
        <v>206</v>
      </c>
      <c r="L29" s="173" t="s">
        <v>206</v>
      </c>
      <c r="M29" s="173" t="s">
        <v>206</v>
      </c>
      <c r="N29" s="173" t="s">
        <v>206</v>
      </c>
      <c r="O29" s="173" t="s">
        <v>206</v>
      </c>
      <c r="P29" s="173" t="s">
        <v>206</v>
      </c>
      <c r="Q29" s="173" t="s">
        <v>206</v>
      </c>
      <c r="R29" s="173" t="s">
        <v>206</v>
      </c>
      <c r="S29" s="150"/>
      <c r="T29" s="150"/>
      <c r="U29" s="150"/>
      <c r="V29" s="156"/>
      <c r="W29" s="156"/>
      <c r="X29" s="156"/>
    </row>
    <row r="30" spans="1:24">
      <c r="A30" s="217">
        <f t="shared" si="0"/>
        <v>23</v>
      </c>
      <c r="B30" s="220" t="s">
        <v>223</v>
      </c>
      <c r="C30" s="580" t="s">
        <v>894</v>
      </c>
      <c r="D30" s="218" t="s">
        <v>204</v>
      </c>
      <c r="E30" s="174"/>
      <c r="F30" s="174"/>
      <c r="G30" s="173" t="s">
        <v>206</v>
      </c>
      <c r="H30" s="174"/>
      <c r="I30" s="174"/>
      <c r="J30" s="174"/>
      <c r="K30" s="174"/>
      <c r="L30" s="173" t="s">
        <v>206</v>
      </c>
      <c r="M30" s="173" t="s">
        <v>206</v>
      </c>
      <c r="N30" s="174"/>
      <c r="O30" s="174"/>
      <c r="P30" s="174"/>
      <c r="Q30" s="174"/>
      <c r="R30" s="174"/>
      <c r="S30" s="150"/>
      <c r="T30" s="150"/>
      <c r="U30" s="150"/>
      <c r="V30" s="156"/>
      <c r="W30" s="156"/>
      <c r="X30" s="156"/>
    </row>
    <row r="31" spans="1:24">
      <c r="A31" s="217">
        <f t="shared" si="0"/>
        <v>24</v>
      </c>
      <c r="B31" s="220" t="s">
        <v>224</v>
      </c>
      <c r="C31" s="580">
        <v>11</v>
      </c>
      <c r="D31" s="218" t="s">
        <v>204</v>
      </c>
      <c r="E31" s="174"/>
      <c r="F31" s="173" t="s">
        <v>206</v>
      </c>
      <c r="G31" s="174"/>
      <c r="H31" s="174"/>
      <c r="I31" s="174"/>
      <c r="J31" s="174"/>
      <c r="K31" s="174"/>
      <c r="L31" s="174"/>
      <c r="M31" s="174"/>
      <c r="N31" s="174"/>
      <c r="O31" s="174"/>
      <c r="P31" s="174"/>
      <c r="Q31" s="173" t="s">
        <v>206</v>
      </c>
      <c r="R31" s="174"/>
      <c r="S31" s="150"/>
      <c r="T31" s="150"/>
      <c r="U31" s="150"/>
      <c r="V31" s="156"/>
      <c r="W31" s="156"/>
      <c r="X31" s="156"/>
    </row>
    <row r="32" spans="1:24">
      <c r="A32" s="217">
        <f t="shared" si="0"/>
        <v>25</v>
      </c>
      <c r="B32" s="220" t="s">
        <v>225</v>
      </c>
      <c r="C32" s="580">
        <v>9</v>
      </c>
      <c r="D32" s="218" t="s">
        <v>204</v>
      </c>
      <c r="E32" s="174"/>
      <c r="F32" s="174"/>
      <c r="G32" s="173" t="s">
        <v>206</v>
      </c>
      <c r="H32" s="174"/>
      <c r="I32" s="174"/>
      <c r="J32" s="174"/>
      <c r="K32" s="174"/>
      <c r="L32" s="173" t="s">
        <v>206</v>
      </c>
      <c r="M32" s="173" t="s">
        <v>206</v>
      </c>
      <c r="N32" s="174"/>
      <c r="O32" s="174"/>
      <c r="P32" s="174"/>
      <c r="Q32" s="174"/>
      <c r="R32" s="174"/>
      <c r="S32" s="150"/>
      <c r="T32" s="150"/>
      <c r="U32" s="150"/>
      <c r="V32" s="156"/>
      <c r="W32" s="156"/>
      <c r="X32" s="156"/>
    </row>
    <row r="33" spans="1:24">
      <c r="A33" s="217">
        <f t="shared" si="0"/>
        <v>26</v>
      </c>
      <c r="B33" s="220" t="s">
        <v>226</v>
      </c>
      <c r="C33" s="580" t="s">
        <v>896</v>
      </c>
      <c r="D33" s="218" t="s">
        <v>204</v>
      </c>
      <c r="E33" s="174"/>
      <c r="F33" s="174"/>
      <c r="G33" s="173" t="s">
        <v>206</v>
      </c>
      <c r="H33" s="174"/>
      <c r="I33" s="174"/>
      <c r="J33" s="174"/>
      <c r="K33" s="174"/>
      <c r="L33" s="173" t="s">
        <v>206</v>
      </c>
      <c r="M33" s="173" t="s">
        <v>206</v>
      </c>
      <c r="N33" s="174"/>
      <c r="O33" s="174"/>
      <c r="P33" s="174"/>
      <c r="Q33" s="174"/>
      <c r="R33" s="174"/>
      <c r="S33" s="150"/>
      <c r="T33" s="150"/>
      <c r="U33" s="150"/>
      <c r="V33" s="156"/>
      <c r="W33" s="156"/>
      <c r="X33" s="156"/>
    </row>
    <row r="34" spans="1:24">
      <c r="A34" s="217">
        <f t="shared" si="0"/>
        <v>27</v>
      </c>
      <c r="B34" s="220" t="s">
        <v>227</v>
      </c>
      <c r="C34" s="580" t="s">
        <v>896</v>
      </c>
      <c r="D34" s="218" t="s">
        <v>204</v>
      </c>
      <c r="E34" s="173" t="s">
        <v>206</v>
      </c>
      <c r="F34" s="173" t="s">
        <v>206</v>
      </c>
      <c r="G34" s="173" t="s">
        <v>206</v>
      </c>
      <c r="H34" s="173" t="s">
        <v>206</v>
      </c>
      <c r="I34" s="173" t="s">
        <v>206</v>
      </c>
      <c r="J34" s="174"/>
      <c r="K34" s="173" t="s">
        <v>206</v>
      </c>
      <c r="L34" s="173" t="s">
        <v>206</v>
      </c>
      <c r="M34" s="173" t="s">
        <v>206</v>
      </c>
      <c r="N34" s="174"/>
      <c r="O34" s="173" t="s">
        <v>206</v>
      </c>
      <c r="P34" s="174"/>
      <c r="Q34" s="174"/>
      <c r="R34" s="174"/>
      <c r="S34" s="150"/>
      <c r="T34" s="150"/>
      <c r="U34" s="150"/>
      <c r="V34" s="156"/>
      <c r="W34" s="156"/>
      <c r="X34" s="156"/>
    </row>
    <row r="35" spans="1:24">
      <c r="A35" s="217">
        <f t="shared" si="0"/>
        <v>28</v>
      </c>
      <c r="B35" s="220" t="s">
        <v>228</v>
      </c>
      <c r="C35" s="580" t="s">
        <v>897</v>
      </c>
      <c r="D35" s="218" t="s">
        <v>204</v>
      </c>
      <c r="E35" s="173" t="s">
        <v>206</v>
      </c>
      <c r="F35" s="173" t="s">
        <v>206</v>
      </c>
      <c r="G35" s="173" t="s">
        <v>206</v>
      </c>
      <c r="H35" s="173" t="s">
        <v>206</v>
      </c>
      <c r="I35" s="173" t="s">
        <v>206</v>
      </c>
      <c r="J35" s="173" t="s">
        <v>206</v>
      </c>
      <c r="K35" s="173" t="s">
        <v>206</v>
      </c>
      <c r="L35" s="173" t="s">
        <v>206</v>
      </c>
      <c r="M35" s="173" t="s">
        <v>206</v>
      </c>
      <c r="N35" s="173" t="s">
        <v>206</v>
      </c>
      <c r="O35" s="173"/>
      <c r="P35" s="174"/>
      <c r="Q35" s="174"/>
      <c r="R35" s="174"/>
      <c r="S35" s="150"/>
      <c r="T35" s="150"/>
      <c r="U35" s="150"/>
      <c r="V35" s="156"/>
      <c r="W35" s="156"/>
      <c r="X35" s="156"/>
    </row>
    <row r="36" spans="1:24">
      <c r="A36" s="217">
        <f t="shared" si="0"/>
        <v>29</v>
      </c>
      <c r="B36" s="220" t="s">
        <v>229</v>
      </c>
      <c r="C36" s="580" t="s">
        <v>896</v>
      </c>
      <c r="D36" s="218" t="s">
        <v>204</v>
      </c>
      <c r="E36" s="173"/>
      <c r="F36" s="173"/>
      <c r="G36" s="173" t="s">
        <v>206</v>
      </c>
      <c r="H36" s="173"/>
      <c r="I36" s="173"/>
      <c r="J36" s="173"/>
      <c r="K36" s="173" t="s">
        <v>206</v>
      </c>
      <c r="L36" s="173" t="s">
        <v>206</v>
      </c>
      <c r="M36" s="173"/>
      <c r="N36" s="173" t="s">
        <v>206</v>
      </c>
      <c r="O36" s="174"/>
      <c r="P36" s="174"/>
      <c r="Q36" s="174"/>
      <c r="R36" s="174"/>
      <c r="S36" s="150"/>
      <c r="T36" s="150"/>
      <c r="U36" s="150"/>
      <c r="V36" s="156"/>
      <c r="W36" s="156"/>
      <c r="X36" s="156"/>
    </row>
    <row r="37" spans="1:24">
      <c r="A37" s="217">
        <f t="shared" si="0"/>
        <v>30</v>
      </c>
      <c r="B37" s="220" t="s">
        <v>230</v>
      </c>
      <c r="C37" s="580">
        <v>11</v>
      </c>
      <c r="D37" s="218" t="s">
        <v>204</v>
      </c>
      <c r="E37" s="174"/>
      <c r="F37" s="173" t="s">
        <v>206</v>
      </c>
      <c r="G37" s="174"/>
      <c r="H37" s="174"/>
      <c r="I37" s="174"/>
      <c r="J37" s="174"/>
      <c r="K37" s="173" t="s">
        <v>206</v>
      </c>
      <c r="L37" s="174"/>
      <c r="M37" s="174"/>
      <c r="N37" s="174"/>
      <c r="O37" s="174"/>
      <c r="P37" s="174"/>
      <c r="Q37" s="173" t="s">
        <v>206</v>
      </c>
      <c r="R37" s="174"/>
      <c r="S37" s="150"/>
      <c r="T37" s="150"/>
      <c r="U37" s="150"/>
      <c r="V37" s="156"/>
      <c r="W37" s="156"/>
      <c r="X37" s="156"/>
    </row>
    <row r="38" spans="1:24">
      <c r="A38" s="217">
        <f t="shared" si="0"/>
        <v>31</v>
      </c>
      <c r="B38" s="220" t="s">
        <v>898</v>
      </c>
      <c r="C38" s="580">
        <v>6</v>
      </c>
      <c r="D38" s="218" t="s">
        <v>204</v>
      </c>
      <c r="E38" s="174"/>
      <c r="F38" s="174"/>
      <c r="G38" s="174"/>
      <c r="H38" s="174"/>
      <c r="I38" s="174"/>
      <c r="J38" s="174"/>
      <c r="K38" s="174"/>
      <c r="L38" s="173" t="s">
        <v>206</v>
      </c>
      <c r="M38" s="174"/>
      <c r="N38" s="174"/>
      <c r="O38" s="174"/>
      <c r="P38" s="174"/>
      <c r="Q38" s="174"/>
      <c r="R38" s="174"/>
      <c r="S38" s="150"/>
      <c r="T38" s="150"/>
      <c r="U38" s="150"/>
      <c r="V38" s="156"/>
      <c r="W38" s="156"/>
      <c r="X38" s="156"/>
    </row>
    <row r="39" spans="1:24">
      <c r="A39" s="217">
        <f t="shared" si="0"/>
        <v>32</v>
      </c>
      <c r="B39" s="220" t="s">
        <v>911</v>
      </c>
      <c r="C39" s="580" t="s">
        <v>899</v>
      </c>
      <c r="D39" s="218" t="s">
        <v>204</v>
      </c>
      <c r="E39" s="173" t="s">
        <v>206</v>
      </c>
      <c r="F39" s="173" t="s">
        <v>206</v>
      </c>
      <c r="G39" s="173" t="s">
        <v>206</v>
      </c>
      <c r="H39" s="173" t="s">
        <v>206</v>
      </c>
      <c r="I39" s="173" t="s">
        <v>206</v>
      </c>
      <c r="J39" s="174"/>
      <c r="K39" s="173" t="s">
        <v>206</v>
      </c>
      <c r="L39" s="173" t="s">
        <v>206</v>
      </c>
      <c r="M39" s="173" t="s">
        <v>206</v>
      </c>
      <c r="N39" s="173" t="s">
        <v>206</v>
      </c>
      <c r="O39" s="173" t="s">
        <v>206</v>
      </c>
      <c r="P39" s="173" t="s">
        <v>206</v>
      </c>
      <c r="Q39" s="173" t="s">
        <v>206</v>
      </c>
      <c r="R39" s="174"/>
      <c r="S39" s="150"/>
      <c r="T39" s="150"/>
      <c r="U39" s="150"/>
      <c r="V39" s="156"/>
      <c r="W39" s="156"/>
      <c r="X39" s="156"/>
    </row>
    <row r="40" spans="1:24">
      <c r="A40" s="217">
        <f t="shared" si="0"/>
        <v>33</v>
      </c>
      <c r="B40" s="581" t="s">
        <v>912</v>
      </c>
      <c r="C40" s="583" t="s">
        <v>913</v>
      </c>
      <c r="D40" s="218" t="s">
        <v>204</v>
      </c>
      <c r="E40" s="173" t="s">
        <v>206</v>
      </c>
      <c r="F40" s="582"/>
      <c r="G40" s="582"/>
      <c r="H40" s="173" t="s">
        <v>206</v>
      </c>
      <c r="I40" s="582"/>
      <c r="J40" s="173" t="s">
        <v>206</v>
      </c>
      <c r="K40" s="582"/>
      <c r="L40" s="173" t="s">
        <v>206</v>
      </c>
      <c r="M40" s="173" t="s">
        <v>206</v>
      </c>
      <c r="N40" s="582"/>
      <c r="O40" s="582"/>
      <c r="P40" s="173" t="s">
        <v>206</v>
      </c>
      <c r="Q40" s="173" t="s">
        <v>206</v>
      </c>
      <c r="R40" s="173" t="s">
        <v>206</v>
      </c>
      <c r="S40" s="150"/>
      <c r="T40" s="150"/>
      <c r="U40" s="150"/>
      <c r="V40" s="156"/>
      <c r="W40" s="156"/>
      <c r="X40" s="156"/>
    </row>
    <row r="41" spans="1:24">
      <c r="A41" s="217">
        <f t="shared" si="0"/>
        <v>34</v>
      </c>
      <c r="B41" s="221" t="s">
        <v>231</v>
      </c>
      <c r="C41" s="580">
        <v>3</v>
      </c>
      <c r="D41" s="218" t="s">
        <v>204</v>
      </c>
      <c r="E41" s="174"/>
      <c r="F41" s="173" t="s">
        <v>206</v>
      </c>
      <c r="G41" s="174"/>
      <c r="H41" s="174"/>
      <c r="I41" s="174"/>
      <c r="J41" s="174"/>
      <c r="K41" s="173" t="s">
        <v>206</v>
      </c>
      <c r="L41" s="174"/>
      <c r="M41" s="174"/>
      <c r="N41" s="174"/>
      <c r="O41" s="174"/>
      <c r="P41" s="174"/>
      <c r="Q41" s="174"/>
      <c r="R41" s="174"/>
      <c r="S41" s="150"/>
      <c r="T41" s="150"/>
      <c r="U41" s="150"/>
      <c r="V41" s="156"/>
      <c r="W41" s="156"/>
      <c r="X41" s="156"/>
    </row>
    <row r="42" spans="1:24">
      <c r="A42" s="217">
        <f t="shared" si="0"/>
        <v>35</v>
      </c>
      <c r="B42" s="220" t="s">
        <v>232</v>
      </c>
      <c r="C42" s="580" t="s">
        <v>900</v>
      </c>
      <c r="D42" s="218" t="s">
        <v>204</v>
      </c>
      <c r="E42" s="174"/>
      <c r="F42" s="174"/>
      <c r="G42" s="174"/>
      <c r="H42" s="173" t="s">
        <v>206</v>
      </c>
      <c r="I42" s="174"/>
      <c r="J42" s="174"/>
      <c r="K42" s="173" t="s">
        <v>206</v>
      </c>
      <c r="L42" s="173" t="s">
        <v>206</v>
      </c>
      <c r="M42" s="174"/>
      <c r="N42" s="174"/>
      <c r="O42" s="174"/>
      <c r="P42" s="174"/>
      <c r="Q42" s="174"/>
      <c r="R42" s="174"/>
      <c r="S42" s="150"/>
      <c r="T42" s="150"/>
      <c r="U42" s="150"/>
      <c r="V42" s="156"/>
      <c r="W42" s="156"/>
      <c r="X42" s="156"/>
    </row>
    <row r="43" spans="1:24">
      <c r="A43" s="217">
        <f t="shared" si="0"/>
        <v>36</v>
      </c>
      <c r="B43" s="220" t="s">
        <v>233</v>
      </c>
      <c r="C43" s="580">
        <v>3</v>
      </c>
      <c r="D43" s="218" t="s">
        <v>204</v>
      </c>
      <c r="E43" s="173" t="s">
        <v>206</v>
      </c>
      <c r="F43" s="173" t="s">
        <v>206</v>
      </c>
      <c r="G43" s="173" t="s">
        <v>206</v>
      </c>
      <c r="H43" s="173" t="s">
        <v>206</v>
      </c>
      <c r="I43" s="174"/>
      <c r="J43" s="173" t="s">
        <v>206</v>
      </c>
      <c r="K43" s="173" t="s">
        <v>206</v>
      </c>
      <c r="L43" s="173" t="s">
        <v>206</v>
      </c>
      <c r="M43" s="174"/>
      <c r="N43" s="174"/>
      <c r="O43" s="174"/>
      <c r="P43" s="174"/>
      <c r="Q43" s="174"/>
      <c r="R43" s="174"/>
      <c r="S43" s="150"/>
      <c r="T43" s="150"/>
      <c r="U43" s="150"/>
      <c r="V43" s="156"/>
      <c r="W43" s="156"/>
      <c r="X43" s="156"/>
    </row>
    <row r="44" spans="1:24">
      <c r="A44" s="217">
        <f t="shared" si="0"/>
        <v>37</v>
      </c>
      <c r="B44" s="221" t="s">
        <v>234</v>
      </c>
      <c r="C44" s="580" t="s">
        <v>1136</v>
      </c>
      <c r="D44" s="218" t="s">
        <v>204</v>
      </c>
      <c r="E44" s="174"/>
      <c r="F44" s="174"/>
      <c r="G44" s="174"/>
      <c r="H44" s="173"/>
      <c r="I44" s="174"/>
      <c r="J44" s="174"/>
      <c r="K44" s="174"/>
      <c r="L44" s="174"/>
      <c r="M44" s="174"/>
      <c r="N44" s="174"/>
      <c r="O44" s="174"/>
      <c r="P44" s="174"/>
      <c r="Q44" s="174"/>
      <c r="R44" s="174" t="s">
        <v>1122</v>
      </c>
      <c r="S44" s="150"/>
      <c r="T44" s="150"/>
      <c r="U44" s="150"/>
      <c r="V44" s="156"/>
      <c r="W44" s="156"/>
      <c r="X44" s="156"/>
    </row>
    <row r="45" spans="1:24">
      <c r="A45" s="217">
        <f t="shared" si="0"/>
        <v>38</v>
      </c>
      <c r="B45" s="221" t="s">
        <v>901</v>
      </c>
      <c r="C45" s="172" t="s">
        <v>902</v>
      </c>
      <c r="D45" s="218" t="s">
        <v>204</v>
      </c>
      <c r="E45" s="173" t="s">
        <v>206</v>
      </c>
      <c r="F45" s="173" t="s">
        <v>206</v>
      </c>
      <c r="G45" s="173" t="s">
        <v>206</v>
      </c>
      <c r="H45" s="173" t="s">
        <v>206</v>
      </c>
      <c r="I45" s="173" t="s">
        <v>206</v>
      </c>
      <c r="J45" s="174"/>
      <c r="K45" s="173" t="s">
        <v>206</v>
      </c>
      <c r="L45" s="173" t="s">
        <v>206</v>
      </c>
      <c r="M45" s="173" t="s">
        <v>206</v>
      </c>
      <c r="N45" s="173" t="s">
        <v>206</v>
      </c>
      <c r="O45" s="173" t="s">
        <v>206</v>
      </c>
      <c r="P45" s="173" t="s">
        <v>206</v>
      </c>
      <c r="Q45" s="173" t="s">
        <v>206</v>
      </c>
      <c r="R45" s="174"/>
      <c r="S45" s="150"/>
      <c r="T45" s="150"/>
      <c r="U45" s="150"/>
      <c r="V45" s="156"/>
      <c r="W45" s="156"/>
      <c r="X45" s="156"/>
    </row>
    <row r="46" spans="1:24">
      <c r="A46" s="217">
        <f t="shared" si="0"/>
        <v>39</v>
      </c>
      <c r="B46" s="221" t="s">
        <v>235</v>
      </c>
      <c r="C46" s="172" t="s">
        <v>902</v>
      </c>
      <c r="D46" s="218" t="s">
        <v>204</v>
      </c>
      <c r="E46" s="173" t="s">
        <v>206</v>
      </c>
      <c r="F46" s="173" t="s">
        <v>206</v>
      </c>
      <c r="G46" s="173" t="s">
        <v>206</v>
      </c>
      <c r="H46" s="173" t="s">
        <v>206</v>
      </c>
      <c r="I46" s="173" t="s">
        <v>206</v>
      </c>
      <c r="J46" s="173" t="s">
        <v>206</v>
      </c>
      <c r="K46" s="173" t="s">
        <v>206</v>
      </c>
      <c r="L46" s="173" t="s">
        <v>206</v>
      </c>
      <c r="M46" s="173" t="s">
        <v>206</v>
      </c>
      <c r="N46" s="173" t="s">
        <v>206</v>
      </c>
      <c r="O46" s="173" t="s">
        <v>206</v>
      </c>
      <c r="P46" s="173" t="s">
        <v>206</v>
      </c>
      <c r="Q46" s="173" t="s">
        <v>206</v>
      </c>
      <c r="R46" s="173" t="s">
        <v>206</v>
      </c>
      <c r="S46" s="150"/>
      <c r="T46" s="150"/>
      <c r="U46" s="150"/>
      <c r="V46" s="156"/>
      <c r="W46" s="156"/>
      <c r="X46" s="156"/>
    </row>
    <row r="47" spans="1:24">
      <c r="A47" s="217">
        <f t="shared" si="0"/>
        <v>40</v>
      </c>
      <c r="B47" s="221" t="s">
        <v>236</v>
      </c>
      <c r="C47" s="218" t="s">
        <v>902</v>
      </c>
      <c r="D47" s="218" t="s">
        <v>204</v>
      </c>
      <c r="E47" s="173" t="s">
        <v>206</v>
      </c>
      <c r="F47" s="173" t="s">
        <v>206</v>
      </c>
      <c r="G47" s="173" t="s">
        <v>206</v>
      </c>
      <c r="H47" s="173" t="s">
        <v>206</v>
      </c>
      <c r="I47" s="173" t="s">
        <v>206</v>
      </c>
      <c r="J47" s="173" t="s">
        <v>206</v>
      </c>
      <c r="K47" s="173" t="s">
        <v>206</v>
      </c>
      <c r="L47" s="173" t="s">
        <v>206</v>
      </c>
      <c r="M47" s="173" t="s">
        <v>206</v>
      </c>
      <c r="N47" s="173" t="s">
        <v>206</v>
      </c>
      <c r="O47" s="173" t="s">
        <v>206</v>
      </c>
      <c r="P47" s="173" t="s">
        <v>206</v>
      </c>
      <c r="Q47" s="173" t="s">
        <v>206</v>
      </c>
      <c r="R47" s="173" t="s">
        <v>206</v>
      </c>
      <c r="S47" s="150"/>
      <c r="T47" s="150"/>
      <c r="U47" s="150"/>
      <c r="V47" s="156"/>
      <c r="W47" s="156"/>
      <c r="X47" s="156"/>
    </row>
    <row r="48" spans="1:24">
      <c r="A48" s="217">
        <f t="shared" si="0"/>
        <v>41</v>
      </c>
      <c r="B48" s="221" t="s">
        <v>237</v>
      </c>
      <c r="C48" s="218" t="s">
        <v>902</v>
      </c>
      <c r="D48" s="218" t="s">
        <v>204</v>
      </c>
      <c r="E48" s="173" t="s">
        <v>206</v>
      </c>
      <c r="F48" s="173" t="s">
        <v>206</v>
      </c>
      <c r="G48" s="173" t="s">
        <v>206</v>
      </c>
      <c r="H48" s="173" t="s">
        <v>206</v>
      </c>
      <c r="I48" s="173" t="s">
        <v>206</v>
      </c>
      <c r="J48" s="173" t="s">
        <v>206</v>
      </c>
      <c r="K48" s="173" t="s">
        <v>206</v>
      </c>
      <c r="L48" s="173" t="s">
        <v>206</v>
      </c>
      <c r="M48" s="173" t="s">
        <v>206</v>
      </c>
      <c r="N48" s="173" t="s">
        <v>206</v>
      </c>
      <c r="O48" s="173" t="s">
        <v>206</v>
      </c>
      <c r="P48" s="173" t="s">
        <v>206</v>
      </c>
      <c r="Q48" s="173" t="s">
        <v>206</v>
      </c>
      <c r="R48" s="173" t="s">
        <v>206</v>
      </c>
      <c r="S48" s="150"/>
      <c r="T48" s="150"/>
      <c r="U48" s="150"/>
      <c r="V48" s="156"/>
      <c r="W48" s="156"/>
      <c r="X48" s="156"/>
    </row>
    <row r="49" spans="1:24">
      <c r="A49" s="217">
        <f t="shared" si="0"/>
        <v>42</v>
      </c>
      <c r="B49" s="221" t="s">
        <v>903</v>
      </c>
      <c r="C49" s="218" t="s">
        <v>902</v>
      </c>
      <c r="D49" s="218" t="s">
        <v>204</v>
      </c>
      <c r="E49" s="173" t="s">
        <v>206</v>
      </c>
      <c r="F49" s="173" t="s">
        <v>206</v>
      </c>
      <c r="G49" s="173" t="s">
        <v>206</v>
      </c>
      <c r="H49" s="173" t="s">
        <v>206</v>
      </c>
      <c r="I49" s="173" t="s">
        <v>206</v>
      </c>
      <c r="J49" s="173" t="s">
        <v>206</v>
      </c>
      <c r="K49" s="173" t="s">
        <v>206</v>
      </c>
      <c r="L49" s="173" t="s">
        <v>206</v>
      </c>
      <c r="M49" s="173" t="s">
        <v>206</v>
      </c>
      <c r="N49" s="173" t="s">
        <v>206</v>
      </c>
      <c r="O49" s="173" t="s">
        <v>206</v>
      </c>
      <c r="P49" s="173" t="s">
        <v>206</v>
      </c>
      <c r="Q49" s="173" t="s">
        <v>206</v>
      </c>
      <c r="R49" s="173" t="s">
        <v>206</v>
      </c>
      <c r="S49" s="150"/>
      <c r="T49" s="150"/>
      <c r="U49" s="150"/>
      <c r="V49" s="156"/>
      <c r="W49" s="156"/>
      <c r="X49" s="156"/>
    </row>
    <row r="50" spans="1:24">
      <c r="A50" s="217">
        <f t="shared" si="0"/>
        <v>43</v>
      </c>
      <c r="B50" s="220" t="s">
        <v>238</v>
      </c>
      <c r="C50" s="172" t="s">
        <v>902</v>
      </c>
      <c r="D50" s="218" t="s">
        <v>204</v>
      </c>
      <c r="E50" s="173" t="s">
        <v>206</v>
      </c>
      <c r="F50" s="173" t="s">
        <v>206</v>
      </c>
      <c r="G50" s="173" t="s">
        <v>206</v>
      </c>
      <c r="H50" s="173" t="s">
        <v>206</v>
      </c>
      <c r="I50" s="173" t="s">
        <v>206</v>
      </c>
      <c r="J50" s="174"/>
      <c r="K50" s="173" t="s">
        <v>206</v>
      </c>
      <c r="L50" s="173" t="s">
        <v>206</v>
      </c>
      <c r="M50" s="173" t="s">
        <v>206</v>
      </c>
      <c r="N50" s="173" t="s">
        <v>206</v>
      </c>
      <c r="O50" s="173" t="s">
        <v>206</v>
      </c>
      <c r="P50" s="173" t="s">
        <v>206</v>
      </c>
      <c r="Q50" s="173" t="s">
        <v>206</v>
      </c>
      <c r="R50" s="174"/>
      <c r="S50" s="150"/>
      <c r="T50" s="150"/>
      <c r="U50" s="150"/>
      <c r="V50" s="156"/>
      <c r="W50" s="156"/>
      <c r="X50" s="156"/>
    </row>
    <row r="51" spans="1:24">
      <c r="A51" s="217">
        <f t="shared" si="0"/>
        <v>44</v>
      </c>
      <c r="B51" s="220" t="s">
        <v>239</v>
      </c>
      <c r="C51" s="172" t="s">
        <v>904</v>
      </c>
      <c r="D51" s="218" t="s">
        <v>204</v>
      </c>
      <c r="E51" s="174"/>
      <c r="F51" s="173" t="s">
        <v>206</v>
      </c>
      <c r="G51" s="174"/>
      <c r="H51" s="174"/>
      <c r="I51" s="173" t="s">
        <v>206</v>
      </c>
      <c r="J51" s="174"/>
      <c r="K51" s="174"/>
      <c r="L51" s="174"/>
      <c r="M51" s="174"/>
      <c r="N51" s="174"/>
      <c r="O51" s="174"/>
      <c r="P51" s="174"/>
      <c r="Q51" s="174"/>
      <c r="R51" s="174"/>
      <c r="S51" s="150"/>
      <c r="T51" s="150"/>
      <c r="U51" s="150"/>
      <c r="V51" s="156"/>
      <c r="W51" s="156"/>
      <c r="X51" s="156"/>
    </row>
    <row r="52" spans="1:24">
      <c r="A52" s="217">
        <f t="shared" si="0"/>
        <v>45</v>
      </c>
      <c r="B52" s="220" t="s">
        <v>914</v>
      </c>
      <c r="C52" s="172"/>
      <c r="D52" s="218" t="s">
        <v>204</v>
      </c>
      <c r="E52" s="174"/>
      <c r="F52" s="174"/>
      <c r="G52" s="174"/>
      <c r="H52" s="174"/>
      <c r="I52" s="174"/>
      <c r="J52" s="174"/>
      <c r="K52" s="174"/>
      <c r="L52" s="174"/>
      <c r="M52" s="174"/>
      <c r="N52" s="174"/>
      <c r="O52" s="174"/>
      <c r="P52" s="174"/>
      <c r="Q52" s="174"/>
      <c r="R52" s="174"/>
      <c r="S52" s="150"/>
      <c r="T52" s="150"/>
      <c r="U52" s="150"/>
      <c r="V52" s="156"/>
      <c r="W52" s="156"/>
      <c r="X52" s="156"/>
    </row>
    <row r="53" spans="1:24">
      <c r="A53" s="217">
        <f t="shared" si="0"/>
        <v>46</v>
      </c>
      <c r="B53" s="220" t="s">
        <v>240</v>
      </c>
      <c r="C53" s="172">
        <v>6</v>
      </c>
      <c r="D53" s="218" t="s">
        <v>204</v>
      </c>
      <c r="E53" s="174"/>
      <c r="F53" s="174"/>
      <c r="G53" s="174"/>
      <c r="H53" s="173" t="s">
        <v>206</v>
      </c>
      <c r="I53" s="174"/>
      <c r="J53" s="174"/>
      <c r="K53" s="174"/>
      <c r="L53" s="174"/>
      <c r="M53" s="174"/>
      <c r="N53" s="174"/>
      <c r="O53" s="174"/>
      <c r="P53" s="174"/>
      <c r="Q53" s="174"/>
      <c r="R53" s="174"/>
      <c r="S53" s="150"/>
      <c r="T53" s="150"/>
      <c r="U53" s="150"/>
      <c r="V53" s="156"/>
      <c r="W53" s="156"/>
      <c r="X53" s="156"/>
    </row>
    <row r="54" spans="1:24">
      <c r="A54" s="217">
        <f t="shared" si="0"/>
        <v>47</v>
      </c>
      <c r="B54" s="221" t="s">
        <v>241</v>
      </c>
      <c r="C54" s="172">
        <v>9</v>
      </c>
      <c r="D54" s="218" t="s">
        <v>204</v>
      </c>
      <c r="E54" s="173" t="s">
        <v>206</v>
      </c>
      <c r="F54" s="173" t="s">
        <v>206</v>
      </c>
      <c r="G54" s="173" t="s">
        <v>206</v>
      </c>
      <c r="H54" s="173" t="s">
        <v>206</v>
      </c>
      <c r="I54" s="173" t="s">
        <v>206</v>
      </c>
      <c r="J54" s="174"/>
      <c r="K54" s="173" t="s">
        <v>206</v>
      </c>
      <c r="L54" s="173" t="s">
        <v>206</v>
      </c>
      <c r="M54" s="173" t="s">
        <v>206</v>
      </c>
      <c r="N54" s="174"/>
      <c r="O54" s="174"/>
      <c r="P54" s="174"/>
      <c r="Q54" s="174"/>
      <c r="R54" s="174"/>
      <c r="S54" s="150"/>
      <c r="T54" s="150"/>
      <c r="U54" s="150"/>
      <c r="V54" s="156"/>
      <c r="W54" s="156"/>
      <c r="X54" s="156"/>
    </row>
    <row r="55" spans="1:24">
      <c r="A55" s="217">
        <f t="shared" si="0"/>
        <v>48</v>
      </c>
      <c r="B55" s="221" t="s">
        <v>242</v>
      </c>
      <c r="C55" s="172" t="s">
        <v>905</v>
      </c>
      <c r="D55" s="218" t="s">
        <v>204</v>
      </c>
      <c r="E55" s="173" t="s">
        <v>206</v>
      </c>
      <c r="F55" s="173" t="s">
        <v>206</v>
      </c>
      <c r="G55" s="173" t="s">
        <v>206</v>
      </c>
      <c r="H55" s="174"/>
      <c r="I55" s="174"/>
      <c r="J55" s="174"/>
      <c r="K55" s="173" t="s">
        <v>206</v>
      </c>
      <c r="L55" s="174"/>
      <c r="M55" s="174"/>
      <c r="N55" s="173" t="s">
        <v>206</v>
      </c>
      <c r="O55" s="173" t="s">
        <v>206</v>
      </c>
      <c r="P55" s="173" t="s">
        <v>206</v>
      </c>
      <c r="Q55" s="173" t="s">
        <v>206</v>
      </c>
      <c r="R55" s="174"/>
      <c r="S55" s="150"/>
      <c r="T55" s="150"/>
      <c r="U55" s="150"/>
      <c r="V55" s="156"/>
      <c r="W55" s="156"/>
      <c r="X55" s="156"/>
    </row>
    <row r="56" spans="1:24">
      <c r="A56" s="217">
        <f t="shared" si="0"/>
        <v>49</v>
      </c>
      <c r="B56" s="220" t="s">
        <v>243</v>
      </c>
      <c r="C56" s="172">
        <v>11</v>
      </c>
      <c r="D56" s="218" t="s">
        <v>204</v>
      </c>
      <c r="E56" s="174"/>
      <c r="F56" s="173" t="s">
        <v>206</v>
      </c>
      <c r="G56" s="174"/>
      <c r="H56" s="174"/>
      <c r="I56" s="174"/>
      <c r="J56" s="174"/>
      <c r="K56" s="174"/>
      <c r="L56" s="173" t="s">
        <v>206</v>
      </c>
      <c r="M56" s="174"/>
      <c r="N56" s="174"/>
      <c r="O56" s="174"/>
      <c r="P56" s="174"/>
      <c r="Q56" s="173" t="s">
        <v>206</v>
      </c>
      <c r="R56" s="174"/>
      <c r="S56" s="154"/>
      <c r="T56" s="154"/>
      <c r="U56" s="154"/>
    </row>
    <row r="57" spans="1:24">
      <c r="A57" s="217">
        <f t="shared" si="0"/>
        <v>50</v>
      </c>
      <c r="B57" s="220" t="s">
        <v>910</v>
      </c>
      <c r="C57" s="172" t="s">
        <v>895</v>
      </c>
      <c r="D57" s="218" t="s">
        <v>204</v>
      </c>
      <c r="E57" s="173" t="s">
        <v>206</v>
      </c>
      <c r="F57" s="173" t="s">
        <v>206</v>
      </c>
      <c r="G57" s="174"/>
      <c r="H57" s="174"/>
      <c r="I57" s="173" t="s">
        <v>206</v>
      </c>
      <c r="J57" s="174"/>
      <c r="K57" s="174"/>
      <c r="L57" s="174"/>
      <c r="M57" s="174"/>
      <c r="N57" s="173" t="s">
        <v>206</v>
      </c>
      <c r="O57" s="173" t="s">
        <v>206</v>
      </c>
      <c r="P57" s="174"/>
      <c r="Q57" s="174"/>
      <c r="R57" s="174"/>
      <c r="S57" s="154"/>
      <c r="T57" s="154"/>
      <c r="U57" s="154"/>
    </row>
    <row r="58" spans="1:24">
      <c r="A58" s="217">
        <f t="shared" si="0"/>
        <v>51</v>
      </c>
      <c r="B58" s="221" t="s">
        <v>244</v>
      </c>
      <c r="C58" s="172" t="s">
        <v>908</v>
      </c>
      <c r="D58" s="218" t="s">
        <v>204</v>
      </c>
      <c r="E58" s="174"/>
      <c r="F58" s="174"/>
      <c r="G58" s="174"/>
      <c r="H58" s="174"/>
      <c r="I58" s="174"/>
      <c r="J58" s="174"/>
      <c r="K58" s="174"/>
      <c r="L58" s="174"/>
      <c r="M58" s="173" t="s">
        <v>206</v>
      </c>
      <c r="N58" s="174"/>
      <c r="O58" s="174"/>
      <c r="P58" s="174"/>
      <c r="Q58" s="173" t="s">
        <v>206</v>
      </c>
      <c r="R58" s="174"/>
      <c r="S58" s="154"/>
      <c r="T58" s="154"/>
      <c r="U58" s="154"/>
    </row>
    <row r="59" spans="1:24">
      <c r="A59" s="217">
        <f t="shared" si="0"/>
        <v>52</v>
      </c>
      <c r="B59" s="220" t="s">
        <v>245</v>
      </c>
      <c r="C59" s="580" t="s">
        <v>906</v>
      </c>
      <c r="D59" s="218" t="s">
        <v>204</v>
      </c>
      <c r="E59" s="174"/>
      <c r="F59" s="174"/>
      <c r="G59" s="174"/>
      <c r="H59" s="173" t="s">
        <v>206</v>
      </c>
      <c r="I59" s="174"/>
      <c r="J59" s="174"/>
      <c r="K59" s="174"/>
      <c r="L59" s="174"/>
      <c r="M59" s="174"/>
      <c r="N59" s="174"/>
      <c r="O59" s="174"/>
      <c r="P59" s="173" t="s">
        <v>206</v>
      </c>
      <c r="Q59" s="173" t="s">
        <v>206</v>
      </c>
      <c r="R59" s="174"/>
      <c r="S59" s="154"/>
      <c r="T59" s="154"/>
      <c r="U59" s="154"/>
    </row>
    <row r="60" spans="1:24">
      <c r="A60" s="217">
        <f t="shared" si="0"/>
        <v>53</v>
      </c>
      <c r="B60" s="220" t="s">
        <v>246</v>
      </c>
      <c r="C60" s="172" t="s">
        <v>909</v>
      </c>
      <c r="D60" s="218" t="s">
        <v>204</v>
      </c>
      <c r="E60" s="173" t="s">
        <v>206</v>
      </c>
      <c r="F60" s="173" t="s">
        <v>206</v>
      </c>
      <c r="G60" s="173" t="s">
        <v>206</v>
      </c>
      <c r="H60" s="173" t="s">
        <v>206</v>
      </c>
      <c r="I60" s="173" t="s">
        <v>206</v>
      </c>
      <c r="J60" s="173" t="s">
        <v>206</v>
      </c>
      <c r="K60" s="173" t="s">
        <v>206</v>
      </c>
      <c r="L60" s="173" t="s">
        <v>206</v>
      </c>
      <c r="M60" s="173" t="s">
        <v>206</v>
      </c>
      <c r="N60" s="173" t="s">
        <v>206</v>
      </c>
      <c r="O60" s="173" t="s">
        <v>206</v>
      </c>
      <c r="P60" s="173" t="s">
        <v>206</v>
      </c>
      <c r="Q60" s="173" t="s">
        <v>206</v>
      </c>
      <c r="R60" s="173" t="s">
        <v>206</v>
      </c>
      <c r="S60" s="150"/>
      <c r="T60" s="150"/>
      <c r="U60" s="150"/>
      <c r="V60" s="156"/>
      <c r="W60" s="156"/>
      <c r="X60" s="156"/>
    </row>
    <row r="61" spans="1:24">
      <c r="A61" s="217">
        <f t="shared" si="0"/>
        <v>54</v>
      </c>
      <c r="B61" s="221" t="s">
        <v>328</v>
      </c>
      <c r="C61" s="172">
        <v>11</v>
      </c>
      <c r="D61" s="218" t="s">
        <v>204</v>
      </c>
      <c r="E61" s="174"/>
      <c r="F61" s="173" t="s">
        <v>206</v>
      </c>
      <c r="G61" s="174"/>
      <c r="H61" s="174"/>
      <c r="I61" s="174"/>
      <c r="J61" s="174"/>
      <c r="K61" s="173" t="s">
        <v>206</v>
      </c>
      <c r="L61" s="174"/>
      <c r="M61" s="174"/>
      <c r="N61" s="174"/>
      <c r="O61" s="174"/>
      <c r="P61" s="174"/>
      <c r="Q61" s="173" t="s">
        <v>206</v>
      </c>
      <c r="R61" s="174"/>
      <c r="S61" s="150"/>
      <c r="T61" s="150"/>
      <c r="U61" s="150"/>
      <c r="V61" s="156"/>
      <c r="W61" s="156"/>
      <c r="X61" s="156"/>
    </row>
    <row r="62" spans="1:24">
      <c r="A62" s="217">
        <f t="shared" si="0"/>
        <v>55</v>
      </c>
      <c r="B62" s="221" t="s">
        <v>329</v>
      </c>
      <c r="C62" s="172">
        <v>6</v>
      </c>
      <c r="D62" s="218" t="s">
        <v>204</v>
      </c>
      <c r="E62" s="174"/>
      <c r="F62" s="174"/>
      <c r="G62" s="174" t="s">
        <v>1122</v>
      </c>
      <c r="H62" s="174"/>
      <c r="I62" s="174"/>
      <c r="J62" s="174"/>
      <c r="K62" s="174"/>
      <c r="L62" s="174"/>
      <c r="M62" s="174"/>
      <c r="N62" s="174"/>
      <c r="O62" s="174"/>
      <c r="P62" s="174"/>
      <c r="Q62" s="174"/>
      <c r="R62" s="174"/>
      <c r="S62" s="150"/>
      <c r="T62" s="150"/>
      <c r="U62" s="150"/>
      <c r="V62" s="156"/>
      <c r="W62" s="156"/>
      <c r="X62" s="156"/>
    </row>
    <row r="63" spans="1:24" s="154" customFormat="1">
      <c r="A63" s="603">
        <f t="shared" si="0"/>
        <v>56</v>
      </c>
      <c r="B63" s="220" t="s">
        <v>247</v>
      </c>
      <c r="C63" s="174">
        <v>7</v>
      </c>
      <c r="D63" s="174" t="s">
        <v>204</v>
      </c>
      <c r="E63" s="174"/>
      <c r="F63" s="174"/>
      <c r="G63" s="174" t="s">
        <v>1122</v>
      </c>
      <c r="H63" s="174"/>
      <c r="I63" s="174"/>
      <c r="J63" s="174"/>
      <c r="K63" s="174"/>
      <c r="L63" s="174"/>
      <c r="M63" s="174"/>
      <c r="N63" s="174"/>
      <c r="O63" s="174"/>
      <c r="P63" s="174"/>
      <c r="Q63" s="174"/>
      <c r="R63" s="174"/>
      <c r="S63" s="150"/>
      <c r="T63" s="150"/>
      <c r="U63" s="150"/>
      <c r="V63" s="150"/>
      <c r="W63" s="150"/>
      <c r="X63" s="150"/>
    </row>
    <row r="64" spans="1:24">
      <c r="A64" s="217">
        <f t="shared" si="0"/>
        <v>57</v>
      </c>
      <c r="B64" s="220" t="s">
        <v>330</v>
      </c>
      <c r="C64" s="172">
        <v>13</v>
      </c>
      <c r="D64" s="218" t="s">
        <v>204</v>
      </c>
      <c r="E64" s="173" t="s">
        <v>206</v>
      </c>
      <c r="F64" s="174"/>
      <c r="G64" s="174"/>
      <c r="H64" s="174"/>
      <c r="I64" s="174"/>
      <c r="J64" s="174"/>
      <c r="K64" s="174"/>
      <c r="L64" s="174"/>
      <c r="M64" s="173" t="s">
        <v>206</v>
      </c>
      <c r="N64" s="173" t="s">
        <v>206</v>
      </c>
      <c r="O64" s="173" t="s">
        <v>206</v>
      </c>
      <c r="P64" s="174"/>
      <c r="Q64" s="174"/>
      <c r="R64" s="174"/>
      <c r="S64" s="150"/>
      <c r="T64" s="150"/>
      <c r="U64" s="150"/>
      <c r="V64" s="156"/>
      <c r="W64" s="156"/>
      <c r="X64" s="156"/>
    </row>
    <row r="65" spans="1:24" s="154" customFormat="1">
      <c r="A65" s="603">
        <f t="shared" si="0"/>
        <v>58</v>
      </c>
      <c r="B65" s="220" t="s">
        <v>248</v>
      </c>
      <c r="C65" s="174">
        <v>10</v>
      </c>
      <c r="D65" s="174" t="s">
        <v>204</v>
      </c>
      <c r="E65" s="174"/>
      <c r="F65" s="174"/>
      <c r="G65" s="174" t="s">
        <v>1122</v>
      </c>
      <c r="H65" s="174"/>
      <c r="I65" s="174"/>
      <c r="J65" s="174"/>
      <c r="K65" s="174"/>
      <c r="L65" s="174"/>
      <c r="M65" s="174"/>
      <c r="N65" s="174"/>
      <c r="O65" s="174"/>
      <c r="P65" s="174"/>
      <c r="Q65" s="174"/>
      <c r="R65" s="174"/>
      <c r="S65" s="150"/>
      <c r="T65" s="150"/>
      <c r="U65" s="150"/>
      <c r="V65" s="150"/>
      <c r="W65" s="150"/>
      <c r="X65" s="150"/>
    </row>
    <row r="66" spans="1:24">
      <c r="A66" s="217">
        <f t="shared" si="0"/>
        <v>59</v>
      </c>
      <c r="B66" s="220" t="s">
        <v>249</v>
      </c>
      <c r="C66" s="172">
        <v>4</v>
      </c>
      <c r="D66" s="218" t="s">
        <v>204</v>
      </c>
      <c r="E66" s="173" t="s">
        <v>206</v>
      </c>
      <c r="F66" s="174"/>
      <c r="G66" s="174"/>
      <c r="H66" s="173" t="s">
        <v>206</v>
      </c>
      <c r="I66" s="174"/>
      <c r="J66" s="174"/>
      <c r="K66" s="174"/>
      <c r="L66" s="173" t="s">
        <v>206</v>
      </c>
      <c r="M66" s="174"/>
      <c r="N66" s="173" t="s">
        <v>206</v>
      </c>
      <c r="O66" s="174"/>
      <c r="P66" s="174"/>
      <c r="Q66" s="174"/>
      <c r="R66" s="174"/>
      <c r="S66" s="150"/>
      <c r="T66" s="150"/>
      <c r="U66" s="150"/>
      <c r="V66" s="156"/>
      <c r="W66" s="156"/>
      <c r="X66" s="156"/>
    </row>
    <row r="67" spans="1:24">
      <c r="A67" s="217">
        <f t="shared" si="0"/>
        <v>60</v>
      </c>
      <c r="B67" s="220" t="s">
        <v>331</v>
      </c>
      <c r="C67" s="172" t="s">
        <v>904</v>
      </c>
      <c r="D67" s="218" t="s">
        <v>204</v>
      </c>
      <c r="E67" s="174"/>
      <c r="F67" s="174"/>
      <c r="G67" s="174"/>
      <c r="H67" s="173" t="s">
        <v>206</v>
      </c>
      <c r="I67" s="174"/>
      <c r="J67" s="174"/>
      <c r="K67" s="173" t="s">
        <v>206</v>
      </c>
      <c r="L67" s="174"/>
      <c r="M67" s="174"/>
      <c r="N67" s="174"/>
      <c r="O67" s="174"/>
      <c r="P67" s="174"/>
      <c r="Q67" s="174"/>
      <c r="R67" s="174"/>
      <c r="S67" s="150"/>
      <c r="T67" s="150"/>
      <c r="U67" s="150"/>
      <c r="V67" s="156"/>
      <c r="W67" s="156"/>
      <c r="X67" s="156"/>
    </row>
    <row r="68" spans="1:24">
      <c r="A68" s="217">
        <f t="shared" si="0"/>
        <v>61</v>
      </c>
      <c r="B68" s="220" t="s">
        <v>250</v>
      </c>
      <c r="C68" s="172">
        <v>6</v>
      </c>
      <c r="D68" s="218" t="s">
        <v>209</v>
      </c>
      <c r="E68" s="174"/>
      <c r="F68" s="174"/>
      <c r="G68" s="174"/>
      <c r="H68" s="174"/>
      <c r="I68" s="174"/>
      <c r="J68" s="174"/>
      <c r="K68" s="174"/>
      <c r="L68" s="174"/>
      <c r="M68" s="174"/>
      <c r="N68" s="174"/>
      <c r="O68" s="174"/>
      <c r="P68" s="174"/>
      <c r="Q68" s="174"/>
      <c r="R68" s="174"/>
      <c r="S68" s="150"/>
      <c r="T68" s="150"/>
      <c r="U68" s="150"/>
      <c r="V68" s="156"/>
      <c r="W68" s="156"/>
      <c r="X68" s="156"/>
    </row>
    <row r="69" spans="1:24">
      <c r="A69" s="217">
        <f t="shared" si="0"/>
        <v>62</v>
      </c>
      <c r="B69" s="220" t="s">
        <v>332</v>
      </c>
      <c r="C69" s="218">
        <v>13</v>
      </c>
      <c r="D69" s="218" t="s">
        <v>209</v>
      </c>
      <c r="E69" s="173" t="s">
        <v>206</v>
      </c>
      <c r="F69" s="173"/>
      <c r="G69" s="173" t="s">
        <v>206</v>
      </c>
      <c r="H69" s="174"/>
      <c r="I69" s="173" t="s">
        <v>206</v>
      </c>
      <c r="J69" s="173" t="s">
        <v>206</v>
      </c>
      <c r="K69" s="173"/>
      <c r="L69" s="173" t="s">
        <v>206</v>
      </c>
      <c r="M69" s="173" t="s">
        <v>206</v>
      </c>
      <c r="N69" s="173" t="s">
        <v>206</v>
      </c>
      <c r="O69" s="173" t="s">
        <v>206</v>
      </c>
      <c r="P69" s="173" t="s">
        <v>206</v>
      </c>
      <c r="Q69" s="174"/>
      <c r="R69" s="173" t="s">
        <v>206</v>
      </c>
      <c r="S69" s="150"/>
      <c r="T69" s="150"/>
      <c r="U69" s="150"/>
      <c r="V69" s="156"/>
      <c r="W69" s="156"/>
      <c r="X69" s="156"/>
    </row>
    <row r="70" spans="1:24">
      <c r="A70" s="217">
        <f t="shared" si="0"/>
        <v>63</v>
      </c>
      <c r="B70" s="220" t="s">
        <v>251</v>
      </c>
      <c r="C70" s="172">
        <v>13</v>
      </c>
      <c r="D70" s="218" t="s">
        <v>209</v>
      </c>
      <c r="E70" s="173" t="s">
        <v>206</v>
      </c>
      <c r="F70" s="173"/>
      <c r="G70" s="173" t="s">
        <v>206</v>
      </c>
      <c r="H70" s="174"/>
      <c r="I70" s="173" t="s">
        <v>206</v>
      </c>
      <c r="J70" s="173" t="s">
        <v>206</v>
      </c>
      <c r="K70" s="173"/>
      <c r="L70" s="173" t="s">
        <v>206</v>
      </c>
      <c r="M70" s="173" t="s">
        <v>206</v>
      </c>
      <c r="N70" s="173" t="s">
        <v>206</v>
      </c>
      <c r="O70" s="173" t="s">
        <v>206</v>
      </c>
      <c r="P70" s="173" t="s">
        <v>206</v>
      </c>
      <c r="Q70" s="174"/>
      <c r="R70" s="173" t="s">
        <v>206</v>
      </c>
      <c r="S70" s="150"/>
      <c r="T70" s="150"/>
      <c r="U70" s="150"/>
      <c r="V70" s="156"/>
      <c r="W70" s="156"/>
      <c r="X70" s="156"/>
    </row>
    <row r="71" spans="1:24">
      <c r="A71" s="217">
        <f t="shared" si="0"/>
        <v>64</v>
      </c>
      <c r="B71" s="220" t="s">
        <v>252</v>
      </c>
      <c r="C71" s="172">
        <v>13</v>
      </c>
      <c r="D71" s="218" t="s">
        <v>207</v>
      </c>
      <c r="E71" s="173" t="s">
        <v>206</v>
      </c>
      <c r="F71" s="173" t="s">
        <v>206</v>
      </c>
      <c r="G71" s="173" t="s">
        <v>206</v>
      </c>
      <c r="H71" s="173" t="s">
        <v>206</v>
      </c>
      <c r="I71" s="173" t="s">
        <v>206</v>
      </c>
      <c r="J71" s="173" t="s">
        <v>206</v>
      </c>
      <c r="K71" s="173" t="s">
        <v>206</v>
      </c>
      <c r="L71" s="173" t="s">
        <v>206</v>
      </c>
      <c r="M71" s="173" t="s">
        <v>206</v>
      </c>
      <c r="N71" s="173" t="s">
        <v>206</v>
      </c>
      <c r="O71" s="173" t="s">
        <v>206</v>
      </c>
      <c r="P71" s="173" t="s">
        <v>206</v>
      </c>
      <c r="Q71" s="173" t="s">
        <v>206</v>
      </c>
      <c r="R71" s="173" t="s">
        <v>206</v>
      </c>
      <c r="S71" s="150"/>
      <c r="T71" s="150"/>
      <c r="U71" s="150"/>
      <c r="V71" s="156"/>
      <c r="W71" s="156"/>
      <c r="X71" s="156"/>
    </row>
    <row r="72" spans="1:24">
      <c r="A72" s="172"/>
      <c r="B72" s="220"/>
      <c r="C72" s="172"/>
      <c r="D72" s="172"/>
      <c r="E72" s="174"/>
      <c r="F72" s="174"/>
      <c r="G72" s="174"/>
      <c r="H72" s="174"/>
      <c r="I72" s="174"/>
      <c r="J72" s="174"/>
      <c r="K72" s="174"/>
      <c r="L72" s="174"/>
      <c r="M72" s="174"/>
      <c r="N72" s="174"/>
      <c r="O72" s="174"/>
      <c r="P72" s="174"/>
      <c r="Q72" s="174"/>
      <c r="R72" s="174"/>
      <c r="S72" s="150"/>
      <c r="T72" s="150"/>
      <c r="U72" s="150"/>
      <c r="V72" s="156"/>
      <c r="W72" s="156"/>
      <c r="X72" s="156"/>
    </row>
    <row r="73" spans="1:24">
      <c r="A73" s="172"/>
      <c r="B73" s="222"/>
      <c r="C73" s="172"/>
      <c r="D73" s="172"/>
      <c r="E73" s="174"/>
      <c r="F73" s="174"/>
      <c r="G73" s="174"/>
      <c r="H73" s="174"/>
      <c r="I73" s="174"/>
      <c r="J73" s="174"/>
      <c r="K73" s="174"/>
      <c r="L73" s="174"/>
      <c r="M73" s="174"/>
      <c r="N73" s="174"/>
      <c r="O73" s="174"/>
      <c r="P73" s="174"/>
      <c r="Q73" s="174"/>
      <c r="R73" s="174"/>
      <c r="S73" s="150"/>
      <c r="T73" s="150"/>
      <c r="U73" s="150"/>
      <c r="V73" s="156"/>
      <c r="W73" s="156"/>
      <c r="X73" s="156"/>
    </row>
    <row r="74" spans="1:24">
      <c r="A74" s="172"/>
      <c r="B74" s="222"/>
      <c r="C74" s="172"/>
      <c r="D74" s="172"/>
      <c r="E74" s="174"/>
      <c r="F74" s="174"/>
      <c r="G74" s="174"/>
      <c r="H74" s="174"/>
      <c r="I74" s="174"/>
      <c r="J74" s="174"/>
      <c r="K74" s="174"/>
      <c r="L74" s="174"/>
      <c r="M74" s="174"/>
      <c r="N74" s="174"/>
      <c r="O74" s="174"/>
      <c r="P74" s="174"/>
      <c r="Q74" s="174"/>
      <c r="R74" s="174"/>
      <c r="S74" s="150"/>
      <c r="T74" s="150"/>
      <c r="U74" s="150"/>
      <c r="V74" s="156"/>
      <c r="W74" s="156"/>
      <c r="X74" s="156"/>
    </row>
    <row r="75" spans="1:24">
      <c r="A75" s="171"/>
      <c r="B75" s="222"/>
      <c r="C75" s="172"/>
      <c r="D75" s="172"/>
      <c r="E75" s="173"/>
      <c r="F75" s="174"/>
      <c r="G75" s="174"/>
      <c r="H75" s="174"/>
      <c r="I75" s="174"/>
      <c r="J75" s="174"/>
      <c r="K75" s="174"/>
      <c r="L75" s="174"/>
      <c r="M75" s="174"/>
      <c r="N75" s="174"/>
      <c r="O75" s="174"/>
      <c r="P75" s="174"/>
      <c r="Q75" s="174"/>
      <c r="R75" s="174"/>
      <c r="S75" s="150"/>
      <c r="T75" s="150"/>
      <c r="U75" s="150"/>
      <c r="V75" s="156"/>
      <c r="W75" s="156"/>
      <c r="X75" s="156"/>
    </row>
    <row r="76" spans="1:24">
      <c r="A76" s="172"/>
      <c r="B76" s="222"/>
      <c r="C76" s="172"/>
      <c r="D76" s="172"/>
      <c r="E76" s="174"/>
      <c r="F76" s="174"/>
      <c r="G76" s="174"/>
      <c r="H76" s="174"/>
      <c r="I76" s="174"/>
      <c r="J76" s="174"/>
      <c r="K76" s="174"/>
      <c r="L76" s="174"/>
      <c r="M76" s="174"/>
      <c r="N76" s="174"/>
      <c r="O76" s="174"/>
      <c r="P76" s="174"/>
      <c r="Q76" s="174"/>
      <c r="R76" s="174"/>
      <c r="S76" s="150"/>
      <c r="T76" s="150"/>
      <c r="U76" s="150"/>
      <c r="V76" s="156"/>
      <c r="W76" s="156"/>
      <c r="X76" s="156"/>
    </row>
    <row r="77" spans="1:24">
      <c r="A77" s="171"/>
      <c r="B77" s="222"/>
      <c r="C77" s="172"/>
      <c r="D77" s="172"/>
      <c r="E77" s="174"/>
      <c r="F77" s="174"/>
      <c r="G77" s="174"/>
      <c r="H77" s="174"/>
      <c r="I77" s="174"/>
      <c r="J77" s="174"/>
      <c r="K77" s="174"/>
      <c r="L77" s="174"/>
      <c r="M77" s="174"/>
      <c r="N77" s="174"/>
      <c r="O77" s="174"/>
      <c r="P77" s="174"/>
      <c r="Q77" s="174"/>
      <c r="R77" s="174"/>
      <c r="S77" s="150"/>
      <c r="T77" s="150"/>
      <c r="U77" s="150"/>
      <c r="V77" s="156"/>
      <c r="W77" s="156"/>
      <c r="X77" s="156"/>
    </row>
    <row r="78" spans="1:24">
      <c r="A78" s="172"/>
      <c r="B78" s="222"/>
      <c r="C78" s="172"/>
      <c r="D78" s="172"/>
      <c r="E78" s="173"/>
      <c r="F78" s="174"/>
      <c r="G78" s="174"/>
      <c r="H78" s="174"/>
      <c r="I78" s="174"/>
      <c r="J78" s="174"/>
      <c r="K78" s="174"/>
      <c r="L78" s="174"/>
      <c r="M78" s="174"/>
      <c r="N78" s="174"/>
      <c r="O78" s="174"/>
      <c r="P78" s="174"/>
      <c r="Q78" s="174"/>
      <c r="R78" s="174"/>
      <c r="S78" s="150"/>
      <c r="T78" s="150"/>
      <c r="U78" s="150"/>
      <c r="V78" s="156"/>
      <c r="W78" s="156"/>
      <c r="X78" s="156"/>
    </row>
    <row r="79" spans="1:24">
      <c r="A79" s="171"/>
      <c r="B79" s="222"/>
      <c r="C79" s="172"/>
      <c r="D79" s="172"/>
      <c r="E79" s="173"/>
      <c r="F79" s="174"/>
      <c r="G79" s="174"/>
      <c r="H79" s="174"/>
      <c r="I79" s="174"/>
      <c r="J79" s="174"/>
      <c r="K79" s="174"/>
      <c r="L79" s="174"/>
      <c r="M79" s="174"/>
      <c r="N79" s="174"/>
      <c r="O79" s="174"/>
      <c r="P79" s="174"/>
      <c r="Q79" s="174"/>
      <c r="R79" s="174"/>
      <c r="S79" s="150"/>
      <c r="T79" s="150"/>
      <c r="U79" s="150"/>
      <c r="V79" s="156"/>
      <c r="W79" s="156"/>
      <c r="X79" s="156"/>
    </row>
    <row r="80" spans="1:24">
      <c r="A80" s="172"/>
      <c r="B80" s="222"/>
      <c r="C80" s="172"/>
      <c r="D80" s="172"/>
      <c r="E80" s="173"/>
      <c r="F80" s="174"/>
      <c r="G80" s="174"/>
      <c r="H80" s="174"/>
      <c r="I80" s="174"/>
      <c r="J80" s="174"/>
      <c r="K80" s="174"/>
      <c r="L80" s="144"/>
      <c r="M80" s="174"/>
      <c r="N80" s="174"/>
      <c r="O80" s="174"/>
      <c r="P80" s="174"/>
      <c r="Q80" s="174"/>
      <c r="R80" s="174"/>
      <c r="S80" s="150"/>
      <c r="T80" s="150"/>
      <c r="U80" s="150"/>
      <c r="V80" s="156"/>
      <c r="W80" s="156"/>
      <c r="X80" s="156"/>
    </row>
    <row r="81" spans="1:24">
      <c r="A81" s="171"/>
      <c r="B81" s="222"/>
      <c r="C81" s="172"/>
      <c r="D81" s="172"/>
      <c r="E81" s="173"/>
      <c r="F81" s="174"/>
      <c r="G81" s="174"/>
      <c r="H81" s="174"/>
      <c r="I81" s="174"/>
      <c r="J81" s="174"/>
      <c r="K81" s="174"/>
      <c r="L81" s="174"/>
      <c r="M81" s="174"/>
      <c r="N81" s="174"/>
      <c r="O81" s="174"/>
      <c r="P81" s="174"/>
      <c r="Q81" s="174"/>
      <c r="R81" s="174"/>
      <c r="S81" s="150"/>
      <c r="T81" s="150"/>
      <c r="U81" s="150"/>
      <c r="V81" s="156"/>
      <c r="W81" s="156"/>
      <c r="X81" s="156"/>
    </row>
    <row r="82" spans="1:24">
      <c r="A82" s="172"/>
      <c r="B82" s="222"/>
      <c r="C82" s="172"/>
      <c r="D82" s="172"/>
      <c r="E82" s="174"/>
      <c r="F82" s="174"/>
      <c r="G82" s="174"/>
      <c r="H82" s="174"/>
      <c r="I82" s="174"/>
      <c r="J82" s="174"/>
      <c r="K82" s="174"/>
      <c r="L82" s="174"/>
      <c r="M82" s="174"/>
      <c r="N82" s="174"/>
      <c r="O82" s="174"/>
      <c r="P82" s="174"/>
      <c r="Q82" s="174"/>
      <c r="R82" s="174"/>
      <c r="S82" s="150"/>
      <c r="T82" s="150"/>
      <c r="U82" s="150"/>
      <c r="V82" s="156"/>
      <c r="W82" s="156"/>
      <c r="X82" s="156"/>
    </row>
    <row r="83" spans="1:24">
      <c r="A83" s="171"/>
      <c r="B83" s="222"/>
      <c r="C83" s="172"/>
      <c r="D83" s="172"/>
      <c r="E83" s="174"/>
      <c r="F83" s="174"/>
      <c r="G83" s="174"/>
      <c r="H83" s="174"/>
      <c r="I83" s="174"/>
      <c r="J83" s="174"/>
      <c r="K83" s="174"/>
      <c r="L83" s="174"/>
      <c r="M83" s="174"/>
      <c r="N83" s="174"/>
      <c r="O83" s="174"/>
      <c r="P83" s="174"/>
      <c r="Q83" s="174"/>
      <c r="R83" s="174"/>
      <c r="S83" s="150"/>
      <c r="T83" s="150"/>
      <c r="U83" s="150"/>
      <c r="V83" s="156"/>
      <c r="W83" s="156"/>
      <c r="X83" s="156"/>
    </row>
    <row r="84" spans="1:24">
      <c r="A84" s="172"/>
      <c r="B84" s="222"/>
      <c r="C84" s="172"/>
      <c r="D84" s="172"/>
      <c r="E84" s="174"/>
      <c r="F84" s="174"/>
      <c r="G84" s="174"/>
      <c r="H84" s="174"/>
      <c r="I84" s="174"/>
      <c r="J84" s="174"/>
      <c r="K84" s="174"/>
      <c r="L84" s="174"/>
      <c r="M84" s="174"/>
      <c r="N84" s="174"/>
      <c r="O84" s="174"/>
      <c r="P84" s="166"/>
      <c r="Q84" s="174"/>
      <c r="R84" s="174"/>
      <c r="S84" s="150"/>
      <c r="T84" s="150"/>
      <c r="U84" s="150"/>
      <c r="V84" s="156"/>
      <c r="W84" s="156"/>
      <c r="X84" s="156"/>
    </row>
    <row r="85" spans="1:24">
      <c r="A85" s="171"/>
      <c r="B85" s="222"/>
      <c r="C85" s="172"/>
      <c r="D85" s="172"/>
      <c r="E85" s="173"/>
      <c r="F85" s="174"/>
      <c r="G85" s="174"/>
      <c r="H85" s="174"/>
      <c r="I85" s="174"/>
      <c r="J85" s="174"/>
      <c r="K85" s="174"/>
      <c r="L85" s="174"/>
      <c r="M85" s="174"/>
      <c r="N85" s="174"/>
      <c r="O85" s="174"/>
      <c r="P85" s="174"/>
      <c r="Q85" s="174"/>
      <c r="R85" s="174"/>
      <c r="S85" s="150"/>
      <c r="T85" s="150"/>
      <c r="U85" s="150"/>
      <c r="V85" s="156"/>
      <c r="W85" s="156"/>
      <c r="X85" s="156"/>
    </row>
    <row r="86" spans="1:24">
      <c r="A86" s="172"/>
      <c r="B86" s="222"/>
      <c r="C86" s="172"/>
      <c r="D86" s="172"/>
      <c r="E86" s="173"/>
      <c r="F86" s="174"/>
      <c r="G86" s="174"/>
      <c r="H86" s="174"/>
      <c r="I86" s="174"/>
      <c r="J86" s="174"/>
      <c r="K86" s="174"/>
      <c r="L86" s="174"/>
      <c r="M86" s="174"/>
      <c r="N86" s="174"/>
      <c r="O86" s="174"/>
      <c r="P86" s="174"/>
      <c r="Q86" s="174"/>
      <c r="R86" s="144"/>
      <c r="S86" s="150"/>
      <c r="T86" s="150"/>
      <c r="U86" s="150"/>
      <c r="V86" s="156"/>
      <c r="W86" s="156"/>
      <c r="X86" s="156"/>
    </row>
    <row r="87" spans="1:24">
      <c r="A87" s="171"/>
      <c r="B87" s="222"/>
      <c r="C87" s="172"/>
      <c r="D87" s="172"/>
      <c r="E87" s="173"/>
      <c r="F87" s="174"/>
      <c r="G87" s="174"/>
      <c r="H87" s="174"/>
      <c r="I87" s="174"/>
      <c r="J87" s="174"/>
      <c r="K87" s="174"/>
      <c r="L87" s="174"/>
      <c r="M87" s="174"/>
      <c r="N87" s="174"/>
      <c r="O87" s="174"/>
      <c r="P87" s="174"/>
      <c r="Q87" s="174"/>
      <c r="R87" s="174"/>
      <c r="S87" s="150"/>
      <c r="T87" s="150"/>
      <c r="U87" s="150"/>
      <c r="V87" s="156"/>
      <c r="W87" s="156"/>
      <c r="X87" s="156"/>
    </row>
    <row r="88" spans="1:24">
      <c r="A88" s="172"/>
      <c r="B88" s="222"/>
      <c r="C88" s="172"/>
      <c r="D88" s="172"/>
      <c r="E88" s="173"/>
      <c r="F88" s="174"/>
      <c r="G88" s="174"/>
      <c r="H88" s="174"/>
      <c r="I88" s="174"/>
      <c r="J88" s="174"/>
      <c r="K88" s="174"/>
      <c r="L88" s="174"/>
      <c r="M88" s="174"/>
      <c r="N88" s="174"/>
      <c r="O88" s="174"/>
      <c r="P88" s="174"/>
      <c r="Q88" s="174"/>
      <c r="R88" s="174"/>
      <c r="S88" s="150"/>
      <c r="T88" s="150"/>
      <c r="U88" s="150"/>
      <c r="V88" s="156"/>
      <c r="W88" s="156"/>
      <c r="X88" s="156"/>
    </row>
    <row r="89" spans="1:24">
      <c r="A89" s="171"/>
      <c r="B89" s="222"/>
      <c r="C89" s="172"/>
      <c r="D89" s="172"/>
      <c r="E89" s="175"/>
      <c r="F89" s="174"/>
      <c r="G89" s="174"/>
      <c r="H89" s="174"/>
      <c r="I89" s="174"/>
      <c r="J89" s="174"/>
      <c r="K89" s="174"/>
      <c r="L89" s="174"/>
      <c r="M89" s="174"/>
      <c r="N89" s="174"/>
      <c r="O89" s="174"/>
      <c r="P89" s="174"/>
      <c r="Q89" s="174"/>
      <c r="R89" s="174"/>
      <c r="S89" s="150"/>
      <c r="T89" s="150"/>
      <c r="U89" s="150"/>
      <c r="V89" s="156"/>
      <c r="W89" s="156"/>
      <c r="X89" s="156"/>
    </row>
    <row r="90" spans="1:24">
      <c r="A90" s="172"/>
      <c r="B90" s="180"/>
      <c r="C90" s="172"/>
      <c r="D90" s="172"/>
      <c r="E90" s="176"/>
      <c r="F90" s="174"/>
      <c r="G90" s="174"/>
      <c r="H90" s="174"/>
      <c r="I90" s="174"/>
      <c r="J90" s="174"/>
      <c r="K90" s="174"/>
      <c r="L90" s="174"/>
      <c r="M90" s="174"/>
      <c r="N90" s="174"/>
      <c r="O90" s="174"/>
      <c r="P90" s="174"/>
      <c r="Q90" s="174"/>
      <c r="R90" s="174"/>
      <c r="S90" s="150"/>
      <c r="T90" s="150"/>
      <c r="U90" s="150"/>
      <c r="V90" s="156"/>
      <c r="W90" s="156"/>
      <c r="X90" s="156"/>
    </row>
    <row r="91" spans="1:24">
      <c r="A91" s="171"/>
      <c r="B91" s="180"/>
      <c r="C91" s="172"/>
      <c r="D91" s="172"/>
      <c r="E91" s="173"/>
      <c r="F91" s="174"/>
      <c r="G91" s="174"/>
      <c r="H91" s="174"/>
      <c r="I91" s="174"/>
      <c r="J91" s="174"/>
      <c r="K91" s="174"/>
      <c r="L91" s="174"/>
      <c r="M91" s="174"/>
      <c r="N91" s="174"/>
      <c r="O91" s="174"/>
      <c r="P91" s="174"/>
      <c r="Q91" s="174"/>
      <c r="R91" s="174"/>
      <c r="S91" s="150"/>
      <c r="T91" s="150"/>
      <c r="U91" s="150"/>
      <c r="V91" s="156"/>
      <c r="W91" s="156"/>
      <c r="X91" s="156"/>
    </row>
    <row r="92" spans="1:24">
      <c r="A92" s="174"/>
      <c r="B92" s="177"/>
      <c r="C92" s="174"/>
      <c r="D92" s="174"/>
      <c r="E92" s="174"/>
      <c r="F92" s="174"/>
      <c r="G92" s="174"/>
      <c r="H92" s="174"/>
      <c r="I92" s="174"/>
      <c r="J92" s="174"/>
      <c r="K92" s="174"/>
      <c r="L92" s="174"/>
      <c r="M92" s="174"/>
      <c r="N92" s="174"/>
      <c r="O92" s="174"/>
      <c r="P92" s="174"/>
      <c r="Q92" s="174"/>
      <c r="R92" s="174"/>
      <c r="S92" s="150"/>
      <c r="T92" s="150"/>
      <c r="U92" s="150"/>
      <c r="V92" s="156"/>
      <c r="W92" s="156"/>
      <c r="X92" s="156"/>
    </row>
    <row r="93" spans="1:24">
      <c r="A93" s="174"/>
      <c r="B93" s="177"/>
      <c r="C93" s="174"/>
      <c r="D93" s="174"/>
      <c r="E93" s="174"/>
      <c r="F93" s="174"/>
      <c r="G93" s="174"/>
      <c r="H93" s="174"/>
      <c r="I93" s="174"/>
      <c r="J93" s="174"/>
      <c r="K93" s="174"/>
      <c r="L93" s="174"/>
      <c r="M93" s="174"/>
      <c r="N93" s="174"/>
      <c r="O93" s="174"/>
      <c r="P93" s="174"/>
      <c r="Q93" s="174"/>
      <c r="R93" s="174"/>
      <c r="S93" s="150"/>
      <c r="T93" s="150"/>
      <c r="U93" s="150"/>
      <c r="V93" s="156"/>
      <c r="W93" s="156"/>
      <c r="X93" s="156"/>
    </row>
    <row r="94" spans="1:24">
      <c r="A94" s="174"/>
      <c r="B94" s="177"/>
      <c r="C94" s="174"/>
      <c r="D94" s="174"/>
      <c r="E94" s="174"/>
      <c r="F94" s="174"/>
      <c r="G94" s="174"/>
      <c r="H94" s="174"/>
      <c r="I94" s="174"/>
      <c r="J94" s="174"/>
      <c r="K94" s="174"/>
      <c r="L94" s="174"/>
      <c r="M94" s="174"/>
      <c r="N94" s="174"/>
      <c r="O94" s="174"/>
      <c r="P94" s="174"/>
      <c r="Q94" s="174"/>
      <c r="R94" s="174"/>
      <c r="S94" s="150"/>
      <c r="T94" s="150"/>
      <c r="U94" s="150"/>
      <c r="V94" s="156"/>
      <c r="W94" s="156"/>
      <c r="X94" s="156"/>
    </row>
    <row r="95" spans="1:24">
      <c r="A95" s="174"/>
      <c r="B95" s="177"/>
      <c r="C95" s="174"/>
      <c r="D95" s="174"/>
      <c r="E95" s="174"/>
      <c r="F95" s="174"/>
      <c r="G95" s="174"/>
      <c r="H95" s="174"/>
      <c r="I95" s="174"/>
      <c r="J95" s="174"/>
      <c r="K95" s="174"/>
      <c r="L95" s="174"/>
      <c r="M95" s="174"/>
      <c r="N95" s="174"/>
      <c r="O95" s="174"/>
      <c r="P95" s="174"/>
      <c r="Q95" s="174"/>
      <c r="R95" s="174"/>
      <c r="S95" s="150"/>
      <c r="T95" s="150"/>
      <c r="U95" s="150"/>
      <c r="V95" s="156"/>
      <c r="W95" s="156"/>
      <c r="X95" s="156"/>
    </row>
    <row r="96" spans="1:24">
      <c r="A96" s="174"/>
      <c r="B96" s="177"/>
      <c r="C96" s="174"/>
      <c r="D96" s="174"/>
      <c r="E96" s="174"/>
      <c r="F96" s="174"/>
      <c r="G96" s="174"/>
      <c r="H96" s="174"/>
      <c r="I96" s="174"/>
      <c r="J96" s="174"/>
      <c r="K96" s="174"/>
      <c r="L96" s="174"/>
      <c r="M96" s="174"/>
      <c r="N96" s="174"/>
      <c r="O96" s="174"/>
      <c r="P96" s="174"/>
      <c r="Q96" s="174"/>
      <c r="R96" s="174"/>
      <c r="S96" s="150"/>
      <c r="T96" s="150"/>
      <c r="U96" s="150"/>
      <c r="V96" s="156"/>
      <c r="W96" s="156"/>
      <c r="X96" s="156"/>
    </row>
    <row r="97" spans="1:24">
      <c r="A97" s="174"/>
      <c r="B97" s="177"/>
      <c r="C97" s="174"/>
      <c r="D97" s="174"/>
      <c r="E97" s="174"/>
      <c r="F97" s="174"/>
      <c r="G97" s="174"/>
      <c r="H97" s="174"/>
      <c r="I97" s="174"/>
      <c r="J97" s="174"/>
      <c r="K97" s="174"/>
      <c r="L97" s="174"/>
      <c r="M97" s="174"/>
      <c r="N97" s="174"/>
      <c r="O97" s="174"/>
      <c r="P97" s="174"/>
      <c r="Q97" s="174"/>
      <c r="R97" s="174"/>
      <c r="S97" s="150"/>
      <c r="T97" s="150"/>
      <c r="U97" s="150"/>
      <c r="V97" s="156"/>
      <c r="W97" s="156"/>
      <c r="X97" s="156"/>
    </row>
    <row r="98" spans="1:24">
      <c r="A98" s="174"/>
      <c r="B98" s="177"/>
      <c r="C98" s="174"/>
      <c r="D98" s="174"/>
      <c r="E98" s="174"/>
      <c r="F98" s="174"/>
      <c r="G98" s="174"/>
      <c r="H98" s="174"/>
      <c r="I98" s="174"/>
      <c r="J98" s="174"/>
      <c r="K98" s="174"/>
      <c r="L98" s="174"/>
      <c r="M98" s="174"/>
      <c r="N98" s="174"/>
      <c r="O98" s="174"/>
      <c r="P98" s="174"/>
      <c r="Q98" s="174"/>
      <c r="R98" s="174"/>
      <c r="S98" s="156"/>
      <c r="T98" s="156"/>
      <c r="U98" s="156"/>
      <c r="V98" s="156"/>
      <c r="W98" s="156"/>
      <c r="X98" s="156"/>
    </row>
    <row r="99" spans="1:24">
      <c r="A99" s="174"/>
      <c r="B99" s="177"/>
      <c r="C99" s="174"/>
      <c r="D99" s="174"/>
      <c r="E99" s="174"/>
      <c r="F99" s="174"/>
      <c r="G99" s="174"/>
      <c r="H99" s="174"/>
      <c r="I99" s="174"/>
      <c r="J99" s="174"/>
      <c r="K99" s="174"/>
      <c r="L99" s="174"/>
      <c r="M99" s="174"/>
      <c r="N99" s="174"/>
      <c r="O99" s="174"/>
      <c r="P99" s="174"/>
      <c r="Q99" s="174"/>
      <c r="R99" s="174"/>
      <c r="S99" s="156"/>
      <c r="T99" s="156"/>
      <c r="U99" s="156"/>
      <c r="V99" s="156"/>
      <c r="W99" s="156"/>
      <c r="X99" s="156"/>
    </row>
    <row r="100" spans="1:24">
      <c r="A100" s="143"/>
      <c r="C100" s="143"/>
      <c r="D100" s="143"/>
      <c r="E100" s="143"/>
      <c r="F100" s="143"/>
      <c r="G100" s="143"/>
      <c r="H100" s="143"/>
      <c r="I100" s="143"/>
      <c r="J100" s="143"/>
      <c r="K100" s="143"/>
      <c r="L100" s="143"/>
      <c r="M100" s="143"/>
      <c r="N100" s="143"/>
      <c r="O100" s="143"/>
      <c r="P100" s="143"/>
      <c r="Q100" s="143"/>
      <c r="R100" s="143"/>
      <c r="S100" s="156"/>
      <c r="T100" s="156"/>
      <c r="U100" s="156"/>
      <c r="V100" s="156"/>
      <c r="W100" s="156"/>
      <c r="X100" s="156"/>
    </row>
    <row r="101" spans="1:24">
      <c r="A101" s="143"/>
      <c r="B101" s="156"/>
      <c r="C101" s="143"/>
      <c r="D101" s="143"/>
      <c r="E101" s="143"/>
      <c r="F101" s="143"/>
      <c r="G101" s="143"/>
      <c r="H101" s="143"/>
      <c r="I101" s="143"/>
      <c r="J101" s="143"/>
      <c r="K101" s="143"/>
      <c r="L101" s="143"/>
      <c r="M101" s="143"/>
      <c r="N101" s="143"/>
      <c r="O101" s="143"/>
      <c r="P101" s="143"/>
      <c r="Q101" s="143"/>
      <c r="R101" s="143"/>
      <c r="S101" s="156"/>
      <c r="T101" s="156"/>
      <c r="U101" s="156"/>
      <c r="V101" s="156"/>
      <c r="W101" s="156"/>
      <c r="X101" s="156"/>
    </row>
    <row r="102" spans="1:24">
      <c r="A102" s="143"/>
      <c r="B102" s="156"/>
      <c r="C102" s="143"/>
      <c r="D102" s="143"/>
      <c r="E102" s="143"/>
      <c r="F102" s="143"/>
      <c r="G102" s="143"/>
      <c r="H102" s="143"/>
      <c r="I102" s="143"/>
      <c r="J102" s="143"/>
      <c r="K102" s="143"/>
      <c r="L102" s="143"/>
      <c r="M102" s="143"/>
      <c r="N102" s="143"/>
      <c r="O102" s="143"/>
      <c r="P102" s="143"/>
      <c r="Q102" s="143"/>
      <c r="R102" s="143"/>
      <c r="S102" s="156"/>
      <c r="T102" s="156"/>
      <c r="U102" s="156"/>
      <c r="V102" s="156"/>
      <c r="W102" s="156"/>
      <c r="X102" s="156"/>
    </row>
    <row r="103" spans="1:24">
      <c r="A103" s="143"/>
      <c r="B103" s="156"/>
      <c r="C103" s="143"/>
      <c r="D103" s="143"/>
      <c r="E103" s="143"/>
      <c r="F103" s="143"/>
      <c r="G103" s="143"/>
      <c r="H103" s="143"/>
      <c r="I103" s="143"/>
      <c r="J103" s="143"/>
      <c r="K103" s="143"/>
      <c r="L103" s="143"/>
      <c r="M103" s="143"/>
      <c r="N103" s="143"/>
      <c r="O103" s="143"/>
      <c r="P103" s="143"/>
      <c r="Q103" s="143"/>
      <c r="R103" s="143"/>
      <c r="S103" s="156"/>
      <c r="T103" s="156"/>
      <c r="U103" s="156"/>
      <c r="V103" s="156"/>
      <c r="W103" s="156"/>
      <c r="X103" s="156"/>
    </row>
    <row r="104" spans="1:24">
      <c r="A104" s="143"/>
      <c r="B104" s="156"/>
      <c r="C104" s="143"/>
      <c r="D104" s="143"/>
      <c r="E104" s="143"/>
      <c r="F104" s="143"/>
      <c r="G104" s="143"/>
      <c r="H104" s="143"/>
      <c r="I104" s="143"/>
      <c r="J104" s="143"/>
      <c r="K104" s="143"/>
      <c r="L104" s="143"/>
      <c r="M104" s="143"/>
      <c r="N104" s="143"/>
      <c r="O104" s="143"/>
      <c r="P104" s="143"/>
      <c r="Q104" s="143"/>
      <c r="R104" s="143"/>
      <c r="S104" s="156"/>
      <c r="T104" s="156"/>
      <c r="U104" s="156"/>
      <c r="V104" s="156"/>
      <c r="W104" s="156"/>
      <c r="X104" s="156"/>
    </row>
    <row r="105" spans="1:24">
      <c r="A105" s="156"/>
      <c r="B105" s="156"/>
      <c r="C105" s="143"/>
      <c r="D105" s="143"/>
      <c r="E105" s="156"/>
      <c r="F105" s="156"/>
      <c r="G105" s="156"/>
      <c r="H105" s="156"/>
      <c r="I105" s="156"/>
      <c r="J105" s="156"/>
      <c r="K105" s="156"/>
      <c r="L105" s="156"/>
      <c r="M105" s="156"/>
      <c r="N105" s="156"/>
      <c r="O105" s="156"/>
      <c r="P105" s="156"/>
      <c r="Q105" s="156"/>
      <c r="R105" s="156"/>
      <c r="S105" s="156"/>
      <c r="T105" s="156"/>
      <c r="U105" s="156"/>
      <c r="V105" s="156"/>
      <c r="W105" s="156"/>
      <c r="X105" s="156"/>
    </row>
  </sheetData>
  <phoneticPr fontId="11" type="noConversion"/>
  <dataValidations count="1">
    <dataValidation type="list" allowBlank="1" showInputMessage="1" showErrorMessage="1" sqref="D8:D71" xr:uid="{00000000-0002-0000-0300-000000000000}">
      <formula1>indexcategory</formula1>
    </dataValidation>
  </dataValidations>
  <pageMargins left="0.75" right="0.75" top="1" bottom="1" header="0.5" footer="0.5"/>
  <pageSetup paperSize="9" orientation="portrait" horizontalDpi="0" verticalDpi="0"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B19"/>
  <sheetViews>
    <sheetView topLeftCell="A13" workbookViewId="0">
      <selection activeCell="B14" sqref="B14"/>
    </sheetView>
  </sheetViews>
  <sheetFormatPr defaultRowHeight="13.2"/>
  <cols>
    <col min="1" max="1" width="13.5546875" customWidth="1"/>
    <col min="2" max="2" width="94.6640625" customWidth="1"/>
  </cols>
  <sheetData>
    <row r="1" spans="1:2" ht="17.399999999999999">
      <c r="A1" s="230" t="s">
        <v>6</v>
      </c>
      <c r="B1" s="232"/>
    </row>
    <row r="2" spans="1:2" ht="13.8">
      <c r="A2" s="233"/>
      <c r="B2" s="227"/>
    </row>
    <row r="3" spans="1:2" ht="30">
      <c r="A3" s="229" t="s">
        <v>915</v>
      </c>
      <c r="B3" s="228"/>
    </row>
    <row r="4" spans="1:2" ht="13.8">
      <c r="A4" s="234"/>
      <c r="B4" s="228"/>
    </row>
    <row r="5" spans="1:2" ht="13.8">
      <c r="A5" s="235" t="s">
        <v>337</v>
      </c>
      <c r="B5" s="235" t="s">
        <v>105</v>
      </c>
    </row>
    <row r="6" spans="1:2" ht="27.6">
      <c r="A6" s="236" t="s">
        <v>338</v>
      </c>
      <c r="B6" s="237" t="s">
        <v>339</v>
      </c>
    </row>
    <row r="7" spans="1:2" ht="124.2">
      <c r="A7" s="238" t="s">
        <v>340</v>
      </c>
      <c r="B7" s="237" t="s">
        <v>1267</v>
      </c>
    </row>
    <row r="8" spans="1:2" ht="27.6">
      <c r="A8" s="231" t="s">
        <v>341</v>
      </c>
      <c r="B8" s="237" t="s">
        <v>917</v>
      </c>
    </row>
    <row r="9" spans="1:2" ht="27.6">
      <c r="A9" s="231" t="s">
        <v>342</v>
      </c>
      <c r="B9" s="239" t="s">
        <v>1232</v>
      </c>
    </row>
    <row r="10" spans="1:2" ht="69">
      <c r="A10" s="231" t="s">
        <v>343</v>
      </c>
      <c r="B10" s="239" t="s">
        <v>1163</v>
      </c>
    </row>
    <row r="11" spans="1:2" ht="55.2">
      <c r="A11" s="231" t="s">
        <v>344</v>
      </c>
      <c r="B11" s="239" t="s">
        <v>1171</v>
      </c>
    </row>
    <row r="12" spans="1:2" ht="165.6">
      <c r="A12" s="231" t="s">
        <v>345</v>
      </c>
      <c r="B12" s="239" t="s">
        <v>1140</v>
      </c>
    </row>
    <row r="13" spans="1:2" ht="41.4">
      <c r="A13" s="231" t="s">
        <v>346</v>
      </c>
      <c r="B13" s="239" t="s">
        <v>1415</v>
      </c>
    </row>
    <row r="14" spans="1:2" ht="13.8">
      <c r="A14" s="231" t="s">
        <v>347</v>
      </c>
      <c r="B14" s="239" t="s">
        <v>1414</v>
      </c>
    </row>
    <row r="15" spans="1:2" ht="124.2">
      <c r="A15" s="231" t="s">
        <v>348</v>
      </c>
      <c r="B15" s="239" t="s">
        <v>1202</v>
      </c>
    </row>
    <row r="16" spans="1:2" ht="96.6">
      <c r="A16" s="231" t="s">
        <v>349</v>
      </c>
      <c r="B16" s="239" t="s">
        <v>1141</v>
      </c>
    </row>
    <row r="17" spans="1:2" ht="110.4">
      <c r="A17" s="231" t="s">
        <v>350</v>
      </c>
      <c r="B17" s="239" t="s">
        <v>1142</v>
      </c>
    </row>
    <row r="18" spans="1:2" ht="55.2">
      <c r="A18" s="231" t="s">
        <v>351</v>
      </c>
      <c r="B18" s="239" t="s">
        <v>1162</v>
      </c>
    </row>
    <row r="19" spans="1:2" ht="124.2">
      <c r="A19" s="231" t="s">
        <v>918</v>
      </c>
      <c r="B19" s="239" t="s">
        <v>1182</v>
      </c>
    </row>
  </sheetData>
  <phoneticPr fontId="104"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tint="0.39997558519241921"/>
  </sheetPr>
  <dimension ref="A2:B39"/>
  <sheetViews>
    <sheetView topLeftCell="A16" workbookViewId="0">
      <selection activeCell="B39" sqref="B39"/>
    </sheetView>
  </sheetViews>
  <sheetFormatPr defaultRowHeight="13.2"/>
  <sheetData>
    <row r="2" spans="1:2">
      <c r="A2" s="244" t="s">
        <v>355</v>
      </c>
    </row>
    <row r="3" spans="1:2" ht="13.8">
      <c r="A3" s="138" t="s">
        <v>131</v>
      </c>
      <c r="B3" s="138" t="s">
        <v>132</v>
      </c>
    </row>
    <row r="4" spans="1:2" ht="13.8">
      <c r="A4" s="137" t="s">
        <v>139</v>
      </c>
      <c r="B4" s="137" t="s">
        <v>140</v>
      </c>
    </row>
    <row r="5" spans="1:2" ht="13.8">
      <c r="A5" s="137" t="s">
        <v>141</v>
      </c>
      <c r="B5" s="137" t="s">
        <v>142</v>
      </c>
    </row>
    <row r="6" spans="1:2" ht="13.8">
      <c r="A6" s="137" t="s">
        <v>143</v>
      </c>
      <c r="B6" s="136"/>
    </row>
    <row r="10" spans="1:2">
      <c r="A10" s="244" t="s">
        <v>356</v>
      </c>
    </row>
    <row r="11" spans="1:2" ht="13.8">
      <c r="A11" s="187" t="s">
        <v>178</v>
      </c>
      <c r="B11" s="187" t="s">
        <v>179</v>
      </c>
    </row>
    <row r="12" spans="1:2" ht="13.8">
      <c r="A12" s="188" t="s">
        <v>180</v>
      </c>
      <c r="B12" s="188" t="s">
        <v>181</v>
      </c>
    </row>
    <row r="13" spans="1:2" ht="13.8">
      <c r="A13" s="188" t="s">
        <v>182</v>
      </c>
      <c r="B13" s="188" t="s">
        <v>183</v>
      </c>
    </row>
    <row r="14" spans="1:2" ht="13.8">
      <c r="A14" s="188" t="s">
        <v>195</v>
      </c>
      <c r="B14" s="189"/>
    </row>
    <row r="15" spans="1:2" ht="13.8">
      <c r="A15" s="188" t="s">
        <v>198</v>
      </c>
      <c r="B15" s="189"/>
    </row>
    <row r="16" spans="1:2" ht="13.8">
      <c r="A16" s="188" t="s">
        <v>199</v>
      </c>
      <c r="B16" s="189"/>
    </row>
    <row r="20" spans="1:2">
      <c r="A20" s="244" t="s">
        <v>357</v>
      </c>
    </row>
    <row r="21" spans="1:2" ht="13.8">
      <c r="A21" s="160" t="s">
        <v>201</v>
      </c>
    </row>
    <row r="22" spans="1:2" ht="13.8">
      <c r="A22" s="178" t="s">
        <v>203</v>
      </c>
    </row>
    <row r="23" spans="1:2" ht="13.8">
      <c r="A23" s="178" t="s">
        <v>204</v>
      </c>
    </row>
    <row r="24" spans="1:2" ht="13.8">
      <c r="A24" s="179" t="s">
        <v>207</v>
      </c>
    </row>
    <row r="25" spans="1:2" ht="13.8">
      <c r="A25" s="179" t="s">
        <v>209</v>
      </c>
    </row>
    <row r="28" spans="1:2">
      <c r="A28" s="244" t="s">
        <v>358</v>
      </c>
    </row>
    <row r="29" spans="1:2" ht="13.8">
      <c r="A29" s="204" t="s">
        <v>283</v>
      </c>
      <c r="B29" s="204" t="s">
        <v>284</v>
      </c>
    </row>
    <row r="30" spans="1:2" ht="13.8">
      <c r="A30" s="206" t="s">
        <v>1</v>
      </c>
      <c r="B30" s="205" t="s">
        <v>106</v>
      </c>
    </row>
    <row r="31" spans="1:2" ht="13.8">
      <c r="A31" s="206" t="s">
        <v>2</v>
      </c>
      <c r="B31" s="205" t="s">
        <v>286</v>
      </c>
    </row>
    <row r="32" spans="1:2" ht="13.8">
      <c r="A32" s="206" t="s">
        <v>0</v>
      </c>
      <c r="B32" s="205" t="s">
        <v>287</v>
      </c>
    </row>
    <row r="33" spans="1:2" ht="13.8">
      <c r="A33" s="206" t="s">
        <v>288</v>
      </c>
      <c r="B33" s="205" t="s">
        <v>289</v>
      </c>
    </row>
    <row r="34" spans="1:2" ht="13.8">
      <c r="A34" s="206" t="s">
        <v>290</v>
      </c>
      <c r="B34" s="205" t="s">
        <v>291</v>
      </c>
    </row>
    <row r="35" spans="1:2" ht="13.8">
      <c r="A35" s="206" t="s">
        <v>292</v>
      </c>
      <c r="B35" s="205" t="s">
        <v>293</v>
      </c>
    </row>
    <row r="36" spans="1:2" ht="13.8">
      <c r="A36" s="206" t="s">
        <v>294</v>
      </c>
      <c r="B36" s="205" t="s">
        <v>295</v>
      </c>
    </row>
    <row r="37" spans="1:2" ht="13.8">
      <c r="A37" s="206" t="s">
        <v>296</v>
      </c>
      <c r="B37" s="205" t="s">
        <v>297</v>
      </c>
    </row>
    <row r="38" spans="1:2" ht="13.8">
      <c r="A38" s="599" t="s">
        <v>1108</v>
      </c>
      <c r="B38" s="598" t="s">
        <v>1107</v>
      </c>
    </row>
    <row r="39" spans="1:2" ht="13.8">
      <c r="A39" s="599" t="s">
        <v>1112</v>
      </c>
      <c r="B39" s="598" t="s">
        <v>1113</v>
      </c>
    </row>
  </sheetData>
  <phoneticPr fontId="10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176"/>
  <sheetViews>
    <sheetView topLeftCell="A131" workbookViewId="0">
      <selection activeCell="E160" sqref="E160:E161"/>
    </sheetView>
  </sheetViews>
  <sheetFormatPr defaultColWidth="9.109375" defaultRowHeight="13.8"/>
  <cols>
    <col min="1" max="1" width="13.6640625" style="456" customWidth="1"/>
    <col min="2" max="2" width="21.88671875" style="5" customWidth="1"/>
    <col min="3" max="3" width="12.33203125" style="5" customWidth="1"/>
    <col min="4" max="4" width="14.44140625" style="5" customWidth="1"/>
    <col min="5" max="5" width="16.5546875" style="145" bestFit="1" customWidth="1"/>
    <col min="6" max="6" width="43.88671875" style="5" customWidth="1"/>
    <col min="7" max="17" width="9.109375" style="5"/>
    <col min="18" max="18" width="13" style="5" customWidth="1"/>
    <col min="19" max="19" width="11.5546875" style="5" customWidth="1"/>
    <col min="20" max="16384" width="9.109375" style="5"/>
  </cols>
  <sheetData>
    <row r="1" spans="1:19" ht="17.399999999999999">
      <c r="A1" s="595" t="s">
        <v>6</v>
      </c>
      <c r="B1" s="2"/>
      <c r="C1" s="3"/>
      <c r="E1" s="84"/>
      <c r="F1" s="84"/>
      <c r="G1" s="84"/>
      <c r="H1" s="84"/>
      <c r="K1" s="105"/>
      <c r="L1" s="105"/>
      <c r="M1" s="105"/>
      <c r="N1" s="3"/>
      <c r="O1" s="3"/>
      <c r="P1" s="3"/>
      <c r="Q1" s="3"/>
    </row>
    <row r="2" spans="1:19">
      <c r="A2" s="85"/>
      <c r="B2" s="101"/>
      <c r="C2" s="101"/>
      <c r="D2" s="101"/>
      <c r="E2" s="63"/>
      <c r="F2" s="3"/>
      <c r="G2" s="3"/>
      <c r="H2" s="3"/>
      <c r="I2" s="3"/>
      <c r="J2" s="3"/>
      <c r="K2" s="3"/>
      <c r="L2" s="3"/>
      <c r="M2" s="3"/>
      <c r="N2" s="3"/>
      <c r="O2" s="3"/>
      <c r="P2" s="3"/>
      <c r="Q2" s="3"/>
    </row>
    <row r="3" spans="1:19" ht="30">
      <c r="A3" s="596" t="s">
        <v>100</v>
      </c>
      <c r="B3" s="196"/>
      <c r="C3" s="196"/>
      <c r="D3" s="196"/>
      <c r="E3" s="194"/>
      <c r="F3" s="193"/>
      <c r="G3" s="193"/>
      <c r="H3" s="193"/>
      <c r="I3" s="193"/>
      <c r="J3" s="193"/>
      <c r="K3" s="193"/>
      <c r="L3" s="193"/>
      <c r="M3" s="193"/>
      <c r="N3" s="193"/>
      <c r="O3" s="193"/>
      <c r="P3" s="193"/>
      <c r="Q3" s="193"/>
    </row>
    <row r="4" spans="1:19">
      <c r="A4" s="201"/>
      <c r="B4" s="195"/>
      <c r="C4" s="195"/>
      <c r="D4" s="195"/>
      <c r="E4" s="194"/>
      <c r="F4" s="193"/>
      <c r="G4" s="193"/>
      <c r="H4" s="193"/>
      <c r="I4" s="193"/>
      <c r="J4" s="193"/>
      <c r="K4" s="193"/>
      <c r="L4" s="193"/>
      <c r="M4" s="193"/>
      <c r="N4" s="193"/>
      <c r="O4" s="193"/>
      <c r="P4" s="193"/>
      <c r="Q4" s="193"/>
    </row>
    <row r="5" spans="1:19">
      <c r="A5" s="590" t="s">
        <v>101</v>
      </c>
      <c r="B5" s="200" t="s">
        <v>102</v>
      </c>
      <c r="C5" s="200" t="s">
        <v>103</v>
      </c>
      <c r="D5" s="200" t="s">
        <v>285</v>
      </c>
      <c r="E5" s="200" t="s">
        <v>104</v>
      </c>
      <c r="F5" s="200" t="s">
        <v>97</v>
      </c>
      <c r="G5" s="199"/>
      <c r="H5" s="192"/>
      <c r="I5" s="192"/>
      <c r="J5" s="192"/>
      <c r="K5" s="192"/>
      <c r="L5" s="192"/>
      <c r="M5" s="192"/>
      <c r="N5" s="192"/>
      <c r="O5" s="192"/>
      <c r="P5" s="192"/>
      <c r="Q5" s="192"/>
    </row>
    <row r="6" spans="1:19">
      <c r="A6" s="745" t="s">
        <v>1072</v>
      </c>
      <c r="B6" s="745"/>
      <c r="C6" s="745"/>
      <c r="D6" s="745"/>
      <c r="E6" s="745"/>
      <c r="F6" s="745"/>
      <c r="G6" s="197"/>
      <c r="H6" s="192"/>
      <c r="I6" s="192"/>
      <c r="J6" s="192"/>
      <c r="K6" s="192"/>
      <c r="L6" s="192"/>
      <c r="M6" s="192"/>
      <c r="N6" s="192"/>
      <c r="O6" s="192"/>
      <c r="P6" s="192"/>
      <c r="Q6" s="192"/>
    </row>
    <row r="7" spans="1:19">
      <c r="A7" s="591" t="s">
        <v>920</v>
      </c>
      <c r="B7" s="198" t="s">
        <v>921</v>
      </c>
      <c r="C7" s="594" t="s">
        <v>1029</v>
      </c>
      <c r="D7" s="198" t="s">
        <v>106</v>
      </c>
      <c r="E7" s="458" t="s">
        <v>642</v>
      </c>
      <c r="F7" s="197"/>
      <c r="G7" s="197"/>
      <c r="H7" s="192"/>
      <c r="I7" s="192"/>
      <c r="J7" s="192"/>
      <c r="K7" s="192"/>
      <c r="L7" s="192"/>
      <c r="M7" s="192"/>
      <c r="N7" s="192"/>
      <c r="O7" s="192"/>
      <c r="P7" s="192"/>
      <c r="Q7" s="192"/>
    </row>
    <row r="8" spans="1:19">
      <c r="A8" s="591">
        <v>1001</v>
      </c>
      <c r="B8" s="198" t="s">
        <v>922</v>
      </c>
      <c r="C8" s="203" t="s">
        <v>1027</v>
      </c>
      <c r="D8" s="198" t="s">
        <v>287</v>
      </c>
      <c r="E8" s="458" t="s">
        <v>642</v>
      </c>
      <c r="F8" s="197"/>
      <c r="G8" s="197"/>
      <c r="H8" s="192"/>
      <c r="I8" s="192"/>
      <c r="J8" s="192"/>
      <c r="K8" s="192"/>
      <c r="L8" s="192"/>
      <c r="M8" s="192"/>
      <c r="N8" s="192"/>
      <c r="O8" s="192"/>
      <c r="P8" s="192"/>
      <c r="Q8" s="192"/>
    </row>
    <row r="9" spans="1:19">
      <c r="A9" s="591">
        <v>2300</v>
      </c>
      <c r="B9" s="198" t="s">
        <v>923</v>
      </c>
      <c r="C9" s="203" t="s">
        <v>1</v>
      </c>
      <c r="D9" s="198" t="s">
        <v>106</v>
      </c>
      <c r="E9" s="458" t="s">
        <v>642</v>
      </c>
      <c r="F9" s="197"/>
      <c r="G9" s="197"/>
      <c r="H9" s="192"/>
      <c r="I9" s="192"/>
      <c r="J9" s="192"/>
      <c r="K9" s="192"/>
      <c r="L9" s="192"/>
      <c r="M9" s="192"/>
      <c r="N9" s="192"/>
      <c r="O9" s="192"/>
      <c r="P9" s="192"/>
      <c r="Q9" s="192"/>
    </row>
    <row r="10" spans="1:19">
      <c r="A10" s="591" t="s">
        <v>924</v>
      </c>
      <c r="B10" s="197" t="s">
        <v>648</v>
      </c>
      <c r="C10" s="594" t="s">
        <v>1028</v>
      </c>
      <c r="D10" s="198" t="s">
        <v>106</v>
      </c>
      <c r="E10" s="458" t="s">
        <v>1032</v>
      </c>
      <c r="F10" s="197"/>
    </row>
    <row r="11" spans="1:19">
      <c r="A11" s="591">
        <v>3501</v>
      </c>
      <c r="B11" s="5" t="s">
        <v>647</v>
      </c>
      <c r="C11" s="594" t="s">
        <v>646</v>
      </c>
      <c r="D11" s="198" t="s">
        <v>106</v>
      </c>
      <c r="E11" s="458" t="s">
        <v>1032</v>
      </c>
      <c r="G11" s="197"/>
      <c r="H11" s="192"/>
      <c r="I11" s="192"/>
      <c r="J11" s="192"/>
      <c r="K11" s="192"/>
      <c r="L11" s="192"/>
      <c r="M11" s="192"/>
      <c r="N11" s="192"/>
      <c r="O11" s="192"/>
      <c r="P11" s="192"/>
      <c r="Q11" s="192"/>
    </row>
    <row r="12" spans="1:19">
      <c r="A12" s="592" t="s">
        <v>925</v>
      </c>
      <c r="B12" s="192" t="s">
        <v>926</v>
      </c>
      <c r="C12" s="594" t="s">
        <v>646</v>
      </c>
      <c r="D12" s="198" t="s">
        <v>287</v>
      </c>
      <c r="E12" s="458" t="s">
        <v>642</v>
      </c>
      <c r="F12" s="197"/>
      <c r="G12" s="197"/>
      <c r="H12" s="192"/>
      <c r="I12" s="192"/>
      <c r="J12" s="192"/>
      <c r="K12" s="192"/>
      <c r="L12" s="192"/>
      <c r="M12" s="192"/>
      <c r="N12" s="192"/>
      <c r="O12" s="192"/>
      <c r="P12" s="192"/>
      <c r="Q12" s="192"/>
    </row>
    <row r="13" spans="1:19">
      <c r="A13" s="591" t="s">
        <v>927</v>
      </c>
      <c r="B13" s="197" t="s">
        <v>928</v>
      </c>
      <c r="C13" s="203" t="s">
        <v>1027</v>
      </c>
      <c r="D13" s="198" t="s">
        <v>106</v>
      </c>
      <c r="E13" s="458" t="s">
        <v>642</v>
      </c>
      <c r="F13" s="197"/>
      <c r="G13" s="192"/>
      <c r="H13" s="192"/>
      <c r="I13" s="192"/>
      <c r="J13" s="192"/>
      <c r="K13" s="192"/>
      <c r="L13" s="192"/>
      <c r="M13" s="192"/>
      <c r="N13" s="192"/>
      <c r="O13" s="192"/>
      <c r="P13" s="192"/>
      <c r="Q13" s="192"/>
      <c r="R13" s="203"/>
      <c r="S13" s="202"/>
    </row>
    <row r="14" spans="1:19">
      <c r="A14" s="593" t="s">
        <v>929</v>
      </c>
      <c r="B14" s="5" t="s">
        <v>930</v>
      </c>
      <c r="C14" s="203" t="s">
        <v>1027</v>
      </c>
      <c r="D14" s="198" t="s">
        <v>106</v>
      </c>
      <c r="E14" s="458" t="s">
        <v>642</v>
      </c>
      <c r="F14" s="192"/>
      <c r="G14" s="192"/>
      <c r="H14" s="192"/>
      <c r="I14" s="192"/>
      <c r="J14" s="192"/>
      <c r="K14" s="192"/>
      <c r="L14" s="192"/>
      <c r="M14" s="192"/>
      <c r="N14" s="192"/>
      <c r="O14" s="192"/>
      <c r="P14" s="192"/>
      <c r="Q14" s="192"/>
      <c r="R14" s="192"/>
      <c r="S14" s="192"/>
    </row>
    <row r="15" spans="1:19">
      <c r="A15" s="591" t="s">
        <v>931</v>
      </c>
      <c r="B15" s="197" t="s">
        <v>667</v>
      </c>
      <c r="C15" s="594" t="s">
        <v>1030</v>
      </c>
      <c r="D15" s="198" t="s">
        <v>106</v>
      </c>
      <c r="E15" s="458" t="s">
        <v>674</v>
      </c>
      <c r="F15" s="192"/>
    </row>
    <row r="16" spans="1:19">
      <c r="A16" s="591" t="s">
        <v>932</v>
      </c>
      <c r="B16" s="5" t="s">
        <v>933</v>
      </c>
      <c r="C16" s="594" t="s">
        <v>645</v>
      </c>
      <c r="D16" s="198" t="s">
        <v>106</v>
      </c>
      <c r="E16" s="458" t="s">
        <v>642</v>
      </c>
    </row>
    <row r="17" spans="1:5">
      <c r="A17" s="592" t="s">
        <v>934</v>
      </c>
      <c r="B17" s="192" t="s">
        <v>935</v>
      </c>
      <c r="C17" s="203" t="s">
        <v>645</v>
      </c>
      <c r="D17" s="198" t="s">
        <v>106</v>
      </c>
      <c r="E17" s="458" t="s">
        <v>642</v>
      </c>
    </row>
    <row r="18" spans="1:5">
      <c r="A18" s="591" t="s">
        <v>936</v>
      </c>
      <c r="B18" s="5" t="s">
        <v>937</v>
      </c>
      <c r="C18" s="594" t="s">
        <v>646</v>
      </c>
      <c r="D18" s="198" t="s">
        <v>287</v>
      </c>
      <c r="E18" s="458" t="s">
        <v>642</v>
      </c>
    </row>
    <row r="19" spans="1:5">
      <c r="A19" s="591" t="s">
        <v>938</v>
      </c>
      <c r="B19" s="5" t="s">
        <v>939</v>
      </c>
      <c r="C19" s="594" t="s">
        <v>1031</v>
      </c>
      <c r="D19" s="198" t="s">
        <v>286</v>
      </c>
      <c r="E19" s="458" t="s">
        <v>642</v>
      </c>
    </row>
    <row r="20" spans="1:5">
      <c r="A20" s="591" t="s">
        <v>940</v>
      </c>
      <c r="B20" s="5" t="s">
        <v>941</v>
      </c>
      <c r="C20" s="594" t="s">
        <v>1031</v>
      </c>
      <c r="D20" s="198" t="s">
        <v>297</v>
      </c>
      <c r="E20" s="458" t="s">
        <v>642</v>
      </c>
    </row>
    <row r="21" spans="1:5">
      <c r="A21" s="591">
        <v>3011</v>
      </c>
      <c r="B21" s="5" t="s">
        <v>942</v>
      </c>
      <c r="C21" s="594" t="s">
        <v>673</v>
      </c>
      <c r="D21" s="198" t="s">
        <v>106</v>
      </c>
      <c r="E21" s="459" t="s">
        <v>1033</v>
      </c>
    </row>
    <row r="22" spans="1:5">
      <c r="A22" s="591">
        <v>3012</v>
      </c>
      <c r="B22" s="5" t="s">
        <v>663</v>
      </c>
      <c r="C22" s="594" t="s">
        <v>673</v>
      </c>
      <c r="D22" s="198" t="s">
        <v>106</v>
      </c>
      <c r="E22" s="459" t="s">
        <v>1033</v>
      </c>
    </row>
    <row r="23" spans="1:5">
      <c r="A23" s="591">
        <v>3015</v>
      </c>
      <c r="B23" s="5" t="s">
        <v>943</v>
      </c>
      <c r="C23" s="594" t="s">
        <v>673</v>
      </c>
      <c r="D23" s="198" t="s">
        <v>106</v>
      </c>
      <c r="E23" s="459" t="s">
        <v>1033</v>
      </c>
    </row>
    <row r="24" spans="1:5">
      <c r="A24" s="591">
        <v>3016</v>
      </c>
      <c r="B24" s="5" t="s">
        <v>944</v>
      </c>
      <c r="C24" s="594" t="s">
        <v>673</v>
      </c>
      <c r="D24" s="198" t="s">
        <v>106</v>
      </c>
      <c r="E24" s="459" t="s">
        <v>1033</v>
      </c>
    </row>
    <row r="25" spans="1:5">
      <c r="A25" s="591">
        <v>3113</v>
      </c>
      <c r="B25" s="5" t="s">
        <v>945</v>
      </c>
      <c r="C25" s="594" t="s">
        <v>645</v>
      </c>
      <c r="D25" s="198" t="s">
        <v>106</v>
      </c>
      <c r="E25" s="459" t="s">
        <v>1034</v>
      </c>
    </row>
    <row r="26" spans="1:5">
      <c r="A26" s="591">
        <v>3081</v>
      </c>
      <c r="B26" s="5" t="s">
        <v>946</v>
      </c>
      <c r="C26" s="594" t="s">
        <v>646</v>
      </c>
      <c r="D26" s="198" t="s">
        <v>106</v>
      </c>
      <c r="E26" s="458" t="s">
        <v>1032</v>
      </c>
    </row>
    <row r="27" spans="1:5">
      <c r="A27" s="591">
        <v>1102</v>
      </c>
      <c r="B27" s="5" t="s">
        <v>947</v>
      </c>
      <c r="C27" s="594" t="s">
        <v>1039</v>
      </c>
      <c r="D27" s="198" t="s">
        <v>106</v>
      </c>
      <c r="E27" s="459" t="s">
        <v>1035</v>
      </c>
    </row>
    <row r="28" spans="1:5">
      <c r="A28" s="591">
        <v>1100</v>
      </c>
      <c r="B28" s="5" t="s">
        <v>948</v>
      </c>
      <c r="C28" s="594" t="s">
        <v>1039</v>
      </c>
      <c r="D28" s="198" t="s">
        <v>106</v>
      </c>
      <c r="E28" s="459" t="s">
        <v>642</v>
      </c>
    </row>
    <row r="29" spans="1:5">
      <c r="A29" s="591" t="s">
        <v>949</v>
      </c>
      <c r="B29" s="5" t="s">
        <v>950</v>
      </c>
      <c r="C29" s="594" t="s">
        <v>646</v>
      </c>
      <c r="D29" s="198" t="s">
        <v>106</v>
      </c>
      <c r="E29" s="458" t="s">
        <v>1032</v>
      </c>
    </row>
    <row r="30" spans="1:5">
      <c r="A30" s="591" t="s">
        <v>951</v>
      </c>
      <c r="B30" s="5" t="s">
        <v>664</v>
      </c>
      <c r="C30" s="594" t="s">
        <v>673</v>
      </c>
      <c r="D30" s="198" t="s">
        <v>106</v>
      </c>
      <c r="E30" s="145" t="s">
        <v>674</v>
      </c>
    </row>
    <row r="31" spans="1:5">
      <c r="A31" s="591">
        <v>3100</v>
      </c>
      <c r="B31" s="5" t="s">
        <v>952</v>
      </c>
      <c r="C31" s="594" t="s">
        <v>646</v>
      </c>
      <c r="D31" s="198" t="s">
        <v>106</v>
      </c>
      <c r="E31" s="458" t="s">
        <v>1037</v>
      </c>
    </row>
    <row r="32" spans="1:5">
      <c r="A32" s="591">
        <v>5080</v>
      </c>
      <c r="B32" s="5" t="s">
        <v>953</v>
      </c>
      <c r="C32" s="594" t="s">
        <v>673</v>
      </c>
      <c r="D32" s="198" t="s">
        <v>106</v>
      </c>
      <c r="E32" s="145" t="s">
        <v>1036</v>
      </c>
    </row>
    <row r="33" spans="1:5">
      <c r="A33" s="591">
        <v>9031</v>
      </c>
      <c r="B33" s="5" t="s">
        <v>954</v>
      </c>
      <c r="C33" s="594" t="s">
        <v>673</v>
      </c>
      <c r="D33" s="198" t="s">
        <v>293</v>
      </c>
      <c r="E33" s="145" t="s">
        <v>1036</v>
      </c>
    </row>
    <row r="34" spans="1:5">
      <c r="A34" s="591">
        <v>9032</v>
      </c>
      <c r="B34" s="5" t="s">
        <v>955</v>
      </c>
      <c r="C34" s="594" t="s">
        <v>1040</v>
      </c>
      <c r="D34" s="198" t="s">
        <v>106</v>
      </c>
      <c r="E34" s="145" t="s">
        <v>1036</v>
      </c>
    </row>
    <row r="35" spans="1:5">
      <c r="A35" s="591">
        <v>9033</v>
      </c>
      <c r="B35" s="5" t="s">
        <v>956</v>
      </c>
      <c r="C35" s="594" t="s">
        <v>645</v>
      </c>
      <c r="D35" s="198" t="s">
        <v>106</v>
      </c>
      <c r="E35" s="145" t="s">
        <v>1036</v>
      </c>
    </row>
    <row r="36" spans="1:5">
      <c r="A36" s="591">
        <v>9034</v>
      </c>
      <c r="B36" s="5" t="s">
        <v>957</v>
      </c>
      <c r="C36" s="594" t="s">
        <v>673</v>
      </c>
      <c r="D36" s="198" t="s">
        <v>293</v>
      </c>
      <c r="E36" s="145" t="s">
        <v>1036</v>
      </c>
    </row>
    <row r="37" spans="1:5">
      <c r="A37" s="591">
        <v>5090</v>
      </c>
      <c r="B37" s="5" t="s">
        <v>958</v>
      </c>
      <c r="C37" s="594" t="s">
        <v>645</v>
      </c>
      <c r="D37" s="198" t="s">
        <v>106</v>
      </c>
      <c r="E37" s="145" t="s">
        <v>1036</v>
      </c>
    </row>
    <row r="38" spans="1:5">
      <c r="A38" s="591">
        <v>5091</v>
      </c>
      <c r="B38" s="5" t="s">
        <v>959</v>
      </c>
      <c r="C38" s="594" t="s">
        <v>645</v>
      </c>
      <c r="D38" s="198" t="s">
        <v>106</v>
      </c>
      <c r="E38" s="145" t="s">
        <v>1036</v>
      </c>
    </row>
    <row r="39" spans="1:5">
      <c r="A39" s="591">
        <v>3200</v>
      </c>
      <c r="B39" s="5" t="s">
        <v>665</v>
      </c>
      <c r="C39" s="594" t="s">
        <v>673</v>
      </c>
      <c r="D39" s="198" t="s">
        <v>106</v>
      </c>
      <c r="E39" s="145" t="s">
        <v>674</v>
      </c>
    </row>
    <row r="40" spans="1:5">
      <c r="A40" s="591">
        <v>3210</v>
      </c>
      <c r="B40" s="5" t="s">
        <v>960</v>
      </c>
      <c r="C40" s="594" t="s">
        <v>1041</v>
      </c>
      <c r="D40" s="198" t="s">
        <v>106</v>
      </c>
      <c r="E40" s="458" t="s">
        <v>1032</v>
      </c>
    </row>
    <row r="41" spans="1:5">
      <c r="A41" s="591">
        <v>3240</v>
      </c>
      <c r="B41" s="5" t="s">
        <v>649</v>
      </c>
      <c r="C41" s="594" t="s">
        <v>646</v>
      </c>
      <c r="D41" s="198" t="s">
        <v>106</v>
      </c>
      <c r="E41" s="458" t="s">
        <v>1037</v>
      </c>
    </row>
    <row r="42" spans="1:5">
      <c r="A42" s="591">
        <v>9100</v>
      </c>
      <c r="B42" s="5" t="s">
        <v>961</v>
      </c>
      <c r="C42" s="594" t="s">
        <v>645</v>
      </c>
      <c r="D42" s="198" t="s">
        <v>287</v>
      </c>
      <c r="E42" s="145" t="s">
        <v>642</v>
      </c>
    </row>
    <row r="43" spans="1:5">
      <c r="A43" s="591">
        <v>9120</v>
      </c>
      <c r="B43" s="5" t="s">
        <v>962</v>
      </c>
      <c r="C43" s="594" t="s">
        <v>645</v>
      </c>
      <c r="D43" s="198" t="s">
        <v>287</v>
      </c>
      <c r="E43" s="145" t="s">
        <v>642</v>
      </c>
    </row>
    <row r="44" spans="1:5">
      <c r="A44" s="593">
        <v>9130</v>
      </c>
      <c r="B44" s="5" t="s">
        <v>963</v>
      </c>
      <c r="C44" s="594" t="s">
        <v>645</v>
      </c>
      <c r="D44" s="198" t="s">
        <v>287</v>
      </c>
      <c r="E44" s="145" t="s">
        <v>642</v>
      </c>
    </row>
    <row r="45" spans="1:5">
      <c r="A45" s="593">
        <v>9131</v>
      </c>
      <c r="B45" s="5" t="s">
        <v>964</v>
      </c>
      <c r="C45" s="594" t="s">
        <v>645</v>
      </c>
      <c r="D45" s="198" t="s">
        <v>287</v>
      </c>
      <c r="E45" s="145" t="s">
        <v>1038</v>
      </c>
    </row>
    <row r="46" spans="1:5">
      <c r="A46" s="593">
        <v>9140</v>
      </c>
      <c r="B46" s="5" t="s">
        <v>965</v>
      </c>
      <c r="C46" s="594" t="s">
        <v>645</v>
      </c>
      <c r="D46" s="198" t="s">
        <v>287</v>
      </c>
      <c r="E46" s="145" t="s">
        <v>1042</v>
      </c>
    </row>
    <row r="47" spans="1:5">
      <c r="A47" s="593">
        <v>9150</v>
      </c>
      <c r="B47" s="5" t="s">
        <v>966</v>
      </c>
      <c r="C47" s="594" t="s">
        <v>645</v>
      </c>
      <c r="D47" s="198" t="s">
        <v>287</v>
      </c>
      <c r="E47" s="145" t="s">
        <v>1042</v>
      </c>
    </row>
    <row r="48" spans="1:5">
      <c r="A48" s="593">
        <v>2100</v>
      </c>
      <c r="B48" s="5" t="s">
        <v>967</v>
      </c>
      <c r="C48" s="457" t="s">
        <v>1043</v>
      </c>
      <c r="D48" s="198" t="s">
        <v>106</v>
      </c>
      <c r="E48" s="145" t="s">
        <v>1044</v>
      </c>
    </row>
    <row r="49" spans="1:5">
      <c r="A49" s="593">
        <v>2020</v>
      </c>
      <c r="B49" s="5" t="s">
        <v>968</v>
      </c>
      <c r="C49" s="198" t="s">
        <v>1027</v>
      </c>
      <c r="D49" s="198" t="s">
        <v>106</v>
      </c>
      <c r="E49" s="145" t="s">
        <v>1045</v>
      </c>
    </row>
    <row r="50" spans="1:5">
      <c r="A50" s="593">
        <v>2021</v>
      </c>
      <c r="B50" s="5" t="s">
        <v>969</v>
      </c>
      <c r="C50" s="198" t="s">
        <v>1027</v>
      </c>
      <c r="D50" s="198" t="s">
        <v>106</v>
      </c>
      <c r="E50" s="145" t="s">
        <v>1045</v>
      </c>
    </row>
    <row r="51" spans="1:5">
      <c r="A51" s="593">
        <v>2025</v>
      </c>
      <c r="B51" s="5" t="s">
        <v>970</v>
      </c>
      <c r="C51" s="198" t="s">
        <v>1027</v>
      </c>
      <c r="D51" s="198" t="s">
        <v>106</v>
      </c>
      <c r="E51" s="145" t="s">
        <v>1046</v>
      </c>
    </row>
    <row r="52" spans="1:5">
      <c r="A52" s="593">
        <v>2026</v>
      </c>
      <c r="B52" s="5" t="s">
        <v>971</v>
      </c>
      <c r="C52" s="198" t="s">
        <v>1027</v>
      </c>
      <c r="D52" s="198" t="s">
        <v>106</v>
      </c>
      <c r="E52" s="145" t="s">
        <v>1045</v>
      </c>
    </row>
    <row r="53" spans="1:5">
      <c r="A53" s="593">
        <v>2035</v>
      </c>
      <c r="B53" s="5" t="s">
        <v>972</v>
      </c>
      <c r="C53" s="198" t="s">
        <v>1027</v>
      </c>
      <c r="D53" s="198" t="s">
        <v>106</v>
      </c>
      <c r="E53" s="145" t="s">
        <v>1044</v>
      </c>
    </row>
    <row r="54" spans="1:5">
      <c r="A54" s="593">
        <v>2036</v>
      </c>
      <c r="B54" s="5" t="s">
        <v>973</v>
      </c>
      <c r="C54" s="198" t="s">
        <v>1027</v>
      </c>
      <c r="D54" s="198" t="s">
        <v>106</v>
      </c>
      <c r="E54" s="145" t="s">
        <v>1044</v>
      </c>
    </row>
    <row r="55" spans="1:5">
      <c r="A55" s="593" t="s">
        <v>974</v>
      </c>
      <c r="B55" s="5" t="s">
        <v>975</v>
      </c>
      <c r="C55" s="198" t="s">
        <v>1027</v>
      </c>
      <c r="D55" s="198" t="s">
        <v>287</v>
      </c>
      <c r="E55" s="145" t="s">
        <v>1047</v>
      </c>
    </row>
    <row r="56" spans="1:5">
      <c r="A56" s="593" t="s">
        <v>976</v>
      </c>
      <c r="B56" s="5" t="s">
        <v>977</v>
      </c>
      <c r="C56" s="198" t="s">
        <v>1027</v>
      </c>
      <c r="D56" s="198" t="s">
        <v>287</v>
      </c>
      <c r="E56" s="145" t="s">
        <v>1047</v>
      </c>
    </row>
    <row r="57" spans="1:5">
      <c r="A57" s="593">
        <v>3220</v>
      </c>
      <c r="B57" s="5" t="s">
        <v>978</v>
      </c>
      <c r="C57" s="457" t="s">
        <v>1030</v>
      </c>
      <c r="D57" s="198" t="s">
        <v>106</v>
      </c>
      <c r="E57" s="145" t="s">
        <v>1048</v>
      </c>
    </row>
    <row r="58" spans="1:5">
      <c r="A58" s="593">
        <v>3255</v>
      </c>
      <c r="B58" s="5" t="s">
        <v>979</v>
      </c>
      <c r="C58" s="198" t="s">
        <v>1027</v>
      </c>
      <c r="D58" s="198" t="s">
        <v>106</v>
      </c>
      <c r="E58" s="145" t="s">
        <v>1048</v>
      </c>
    </row>
    <row r="59" spans="1:5">
      <c r="A59" s="593">
        <v>3230</v>
      </c>
      <c r="B59" s="5" t="s">
        <v>980</v>
      </c>
      <c r="C59" s="457" t="s">
        <v>1027</v>
      </c>
      <c r="D59" s="198" t="s">
        <v>106</v>
      </c>
      <c r="E59" s="145" t="s">
        <v>1048</v>
      </c>
    </row>
    <row r="60" spans="1:5">
      <c r="A60" s="593">
        <v>3221</v>
      </c>
      <c r="B60" s="5" t="s">
        <v>981</v>
      </c>
      <c r="C60" s="457" t="s">
        <v>1030</v>
      </c>
      <c r="D60" s="198" t="s">
        <v>106</v>
      </c>
      <c r="E60" s="145" t="s">
        <v>1048</v>
      </c>
    </row>
    <row r="61" spans="1:5">
      <c r="A61" s="593">
        <v>3231</v>
      </c>
      <c r="B61" s="5" t="s">
        <v>982</v>
      </c>
      <c r="C61" s="457" t="s">
        <v>1049</v>
      </c>
      <c r="D61" s="198" t="s">
        <v>106</v>
      </c>
      <c r="E61" s="145" t="s">
        <v>1048</v>
      </c>
    </row>
    <row r="62" spans="1:5">
      <c r="A62" s="593">
        <v>3291</v>
      </c>
      <c r="B62" s="5" t="s">
        <v>983</v>
      </c>
      <c r="C62" s="457" t="s">
        <v>1030</v>
      </c>
      <c r="D62" s="198" t="s">
        <v>106</v>
      </c>
      <c r="E62" s="145" t="s">
        <v>1050</v>
      </c>
    </row>
    <row r="63" spans="1:5">
      <c r="A63" s="593" t="s">
        <v>1052</v>
      </c>
      <c r="B63" s="5" t="s">
        <v>984</v>
      </c>
      <c r="C63" s="457" t="s">
        <v>1051</v>
      </c>
      <c r="D63" s="198" t="s">
        <v>106</v>
      </c>
      <c r="E63" s="145" t="s">
        <v>1054</v>
      </c>
    </row>
    <row r="64" spans="1:5">
      <c r="A64" s="593">
        <v>5060</v>
      </c>
      <c r="B64" s="5" t="s">
        <v>988</v>
      </c>
      <c r="C64" s="457" t="s">
        <v>1051</v>
      </c>
      <c r="D64" s="198" t="s">
        <v>286</v>
      </c>
      <c r="E64" s="145" t="s">
        <v>1054</v>
      </c>
    </row>
    <row r="65" spans="1:5">
      <c r="A65" s="593" t="s">
        <v>1053</v>
      </c>
      <c r="B65" s="5" t="s">
        <v>985</v>
      </c>
      <c r="C65" s="457" t="s">
        <v>1051</v>
      </c>
      <c r="D65" s="198" t="s">
        <v>106</v>
      </c>
      <c r="E65" s="145" t="s">
        <v>1054</v>
      </c>
    </row>
    <row r="66" spans="1:5">
      <c r="A66" s="593">
        <v>2375</v>
      </c>
      <c r="B66" s="5" t="s">
        <v>1057</v>
      </c>
      <c r="C66" s="457" t="s">
        <v>1027</v>
      </c>
      <c r="D66" s="198" t="s">
        <v>106</v>
      </c>
      <c r="E66" s="145" t="s">
        <v>1055</v>
      </c>
    </row>
    <row r="67" spans="1:5">
      <c r="A67" s="593" t="s">
        <v>1056</v>
      </c>
      <c r="B67" s="5" t="s">
        <v>1058</v>
      </c>
      <c r="C67" s="457" t="s">
        <v>1027</v>
      </c>
      <c r="D67" s="198" t="s">
        <v>106</v>
      </c>
      <c r="E67" s="145" t="s">
        <v>1055</v>
      </c>
    </row>
    <row r="68" spans="1:5">
      <c r="A68" s="593">
        <v>3299</v>
      </c>
      <c r="B68" s="5" t="s">
        <v>666</v>
      </c>
      <c r="C68" s="457" t="s">
        <v>1030</v>
      </c>
      <c r="D68" s="198" t="s">
        <v>106</v>
      </c>
      <c r="E68" s="145" t="s">
        <v>1059</v>
      </c>
    </row>
    <row r="69" spans="1:5">
      <c r="A69" s="593">
        <v>3298</v>
      </c>
      <c r="B69" s="5" t="s">
        <v>986</v>
      </c>
      <c r="C69" s="457" t="s">
        <v>1030</v>
      </c>
      <c r="D69" s="198" t="s">
        <v>106</v>
      </c>
      <c r="E69" s="145" t="s">
        <v>1061</v>
      </c>
    </row>
    <row r="70" spans="1:5">
      <c r="A70" s="593">
        <v>3297</v>
      </c>
      <c r="B70" s="5" t="s">
        <v>987</v>
      </c>
      <c r="C70" s="457" t="s">
        <v>1030</v>
      </c>
      <c r="D70" s="198" t="s">
        <v>106</v>
      </c>
      <c r="E70" s="145" t="s">
        <v>1061</v>
      </c>
    </row>
    <row r="71" spans="1:5">
      <c r="A71" s="593">
        <v>3007</v>
      </c>
      <c r="B71" s="5" t="s">
        <v>989</v>
      </c>
      <c r="C71" s="198" t="s">
        <v>1027</v>
      </c>
      <c r="D71" s="198" t="s">
        <v>287</v>
      </c>
      <c r="E71" s="145" t="s">
        <v>1055</v>
      </c>
    </row>
    <row r="72" spans="1:5">
      <c r="A72" s="593">
        <v>3009</v>
      </c>
      <c r="B72" s="5" t="s">
        <v>990</v>
      </c>
      <c r="C72" s="198" t="s">
        <v>1027</v>
      </c>
      <c r="D72" s="198" t="s">
        <v>287</v>
      </c>
      <c r="E72" s="145" t="s">
        <v>1055</v>
      </c>
    </row>
    <row r="73" spans="1:5">
      <c r="A73" s="593">
        <v>3003</v>
      </c>
      <c r="B73" s="5" t="s">
        <v>991</v>
      </c>
      <c r="C73" s="198" t="s">
        <v>1027</v>
      </c>
      <c r="D73" s="198" t="s">
        <v>287</v>
      </c>
      <c r="E73" s="145" t="s">
        <v>1055</v>
      </c>
    </row>
    <row r="74" spans="1:5">
      <c r="A74" s="593">
        <v>3008</v>
      </c>
      <c r="B74" s="5" t="s">
        <v>992</v>
      </c>
      <c r="C74" s="198" t="s">
        <v>1027</v>
      </c>
      <c r="D74" s="198" t="s">
        <v>287</v>
      </c>
      <c r="E74" s="145" t="s">
        <v>1055</v>
      </c>
    </row>
    <row r="75" spans="1:5">
      <c r="A75" s="593">
        <v>3010</v>
      </c>
      <c r="B75" s="5" t="s">
        <v>993</v>
      </c>
      <c r="C75" s="198" t="s">
        <v>1027</v>
      </c>
      <c r="D75" s="198" t="s">
        <v>287</v>
      </c>
      <c r="E75" s="145" t="s">
        <v>1055</v>
      </c>
    </row>
    <row r="76" spans="1:5">
      <c r="A76" s="593">
        <v>3002</v>
      </c>
      <c r="B76" s="5" t="s">
        <v>994</v>
      </c>
      <c r="C76" s="198" t="s">
        <v>1027</v>
      </c>
      <c r="D76" s="198" t="s">
        <v>287</v>
      </c>
      <c r="E76" s="145" t="s">
        <v>1055</v>
      </c>
    </row>
    <row r="77" spans="1:5">
      <c r="A77" s="593">
        <v>3000</v>
      </c>
      <c r="B77" s="5" t="s">
        <v>995</v>
      </c>
      <c r="C77" s="198" t="s">
        <v>1027</v>
      </c>
      <c r="D77" s="198" t="s">
        <v>287</v>
      </c>
      <c r="E77" s="145" t="s">
        <v>1055</v>
      </c>
    </row>
    <row r="78" spans="1:5">
      <c r="A78" s="593">
        <v>3001</v>
      </c>
      <c r="B78" s="5" t="s">
        <v>996</v>
      </c>
      <c r="C78" s="198" t="s">
        <v>1027</v>
      </c>
      <c r="D78" s="198" t="s">
        <v>287</v>
      </c>
      <c r="E78" s="145" t="s">
        <v>1055</v>
      </c>
    </row>
    <row r="79" spans="1:5">
      <c r="A79" s="593">
        <v>3004</v>
      </c>
      <c r="B79" s="5" t="s">
        <v>997</v>
      </c>
      <c r="C79" s="198" t="s">
        <v>1027</v>
      </c>
      <c r="D79" s="198" t="s">
        <v>287</v>
      </c>
      <c r="E79" s="145" t="s">
        <v>1063</v>
      </c>
    </row>
    <row r="80" spans="1:5">
      <c r="A80" s="593">
        <v>3005</v>
      </c>
      <c r="B80" s="5" t="s">
        <v>998</v>
      </c>
      <c r="C80" s="198" t="s">
        <v>1027</v>
      </c>
      <c r="D80" s="198" t="s">
        <v>287</v>
      </c>
      <c r="E80" s="145" t="s">
        <v>1055</v>
      </c>
    </row>
    <row r="81" spans="1:5">
      <c r="A81" s="593">
        <v>3006</v>
      </c>
      <c r="B81" s="5" t="s">
        <v>999</v>
      </c>
      <c r="C81" s="198" t="s">
        <v>1027</v>
      </c>
      <c r="D81" s="198" t="s">
        <v>287</v>
      </c>
      <c r="E81" s="145" t="s">
        <v>1055</v>
      </c>
    </row>
    <row r="82" spans="1:5">
      <c r="A82" s="593" t="s">
        <v>1000</v>
      </c>
      <c r="B82" s="5" t="s">
        <v>1001</v>
      </c>
      <c r="C82" s="198" t="s">
        <v>1027</v>
      </c>
      <c r="D82" s="198" t="s">
        <v>106</v>
      </c>
      <c r="E82" s="145" t="s">
        <v>1062</v>
      </c>
    </row>
    <row r="83" spans="1:5">
      <c r="A83" s="593" t="s">
        <v>1002</v>
      </c>
      <c r="B83" s="5" t="s">
        <v>1003</v>
      </c>
      <c r="C83" s="198" t="s">
        <v>1027</v>
      </c>
      <c r="D83" s="198" t="s">
        <v>106</v>
      </c>
      <c r="E83" s="145" t="s">
        <v>1062</v>
      </c>
    </row>
    <row r="84" spans="1:5">
      <c r="A84" s="593">
        <v>3601</v>
      </c>
      <c r="B84" s="5" t="s">
        <v>1004</v>
      </c>
      <c r="C84" s="457" t="s">
        <v>1064</v>
      </c>
      <c r="D84" s="198" t="s">
        <v>106</v>
      </c>
      <c r="E84" s="145" t="s">
        <v>1065</v>
      </c>
    </row>
    <row r="85" spans="1:5">
      <c r="A85" s="593">
        <v>3602</v>
      </c>
      <c r="B85" s="5" t="s">
        <v>1005</v>
      </c>
      <c r="C85" s="457" t="s">
        <v>1030</v>
      </c>
      <c r="D85" s="198" t="s">
        <v>106</v>
      </c>
      <c r="E85" s="145" t="s">
        <v>1066</v>
      </c>
    </row>
    <row r="86" spans="1:5">
      <c r="A86" s="593" t="s">
        <v>1006</v>
      </c>
      <c r="B86" s="5" t="s">
        <v>1007</v>
      </c>
      <c r="C86" s="457" t="s">
        <v>1030</v>
      </c>
      <c r="D86" s="198" t="s">
        <v>106</v>
      </c>
      <c r="E86" s="145" t="s">
        <v>1066</v>
      </c>
    </row>
    <row r="87" spans="1:5">
      <c r="A87" s="593" t="s">
        <v>1008</v>
      </c>
      <c r="B87" s="5" t="s">
        <v>1009</v>
      </c>
      <c r="C87" s="457" t="s">
        <v>1030</v>
      </c>
      <c r="D87" s="198" t="s">
        <v>106</v>
      </c>
      <c r="E87" s="145" t="s">
        <v>1066</v>
      </c>
    </row>
    <row r="88" spans="1:5">
      <c r="A88" s="593" t="s">
        <v>1010</v>
      </c>
      <c r="B88" s="5" t="s">
        <v>1011</v>
      </c>
      <c r="C88" s="457" t="s">
        <v>1030</v>
      </c>
      <c r="D88" s="198" t="s">
        <v>106</v>
      </c>
      <c r="E88" s="145" t="s">
        <v>1066</v>
      </c>
    </row>
    <row r="89" spans="1:5">
      <c r="A89" s="593" t="s">
        <v>1012</v>
      </c>
      <c r="B89" s="5" t="s">
        <v>1013</v>
      </c>
      <c r="C89" s="457" t="s">
        <v>1030</v>
      </c>
      <c r="D89" s="198" t="s">
        <v>106</v>
      </c>
      <c r="E89" s="145" t="s">
        <v>1066</v>
      </c>
    </row>
    <row r="90" spans="1:5">
      <c r="A90" s="593">
        <v>7090</v>
      </c>
      <c r="B90" s="5" t="s">
        <v>1014</v>
      </c>
      <c r="C90" s="457" t="s">
        <v>1030</v>
      </c>
      <c r="D90" s="198" t="s">
        <v>286</v>
      </c>
      <c r="E90" s="145" t="s">
        <v>1050</v>
      </c>
    </row>
    <row r="91" spans="1:5">
      <c r="A91" s="593" t="s">
        <v>1015</v>
      </c>
      <c r="B91" s="5" t="s">
        <v>668</v>
      </c>
      <c r="C91" s="457" t="s">
        <v>1030</v>
      </c>
      <c r="D91" s="198" t="s">
        <v>286</v>
      </c>
      <c r="E91" s="145" t="s">
        <v>1050</v>
      </c>
    </row>
    <row r="92" spans="1:5">
      <c r="A92" s="593">
        <v>7050</v>
      </c>
      <c r="B92" s="5" t="s">
        <v>669</v>
      </c>
      <c r="C92" s="457" t="s">
        <v>1030</v>
      </c>
      <c r="D92" s="198" t="s">
        <v>286</v>
      </c>
      <c r="E92" s="145" t="s">
        <v>1050</v>
      </c>
    </row>
    <row r="93" spans="1:5">
      <c r="A93" s="593">
        <v>7055</v>
      </c>
      <c r="B93" s="5" t="s">
        <v>670</v>
      </c>
      <c r="C93" s="457" t="s">
        <v>1030</v>
      </c>
      <c r="D93" s="198" t="s">
        <v>286</v>
      </c>
      <c r="E93" s="145" t="s">
        <v>1050</v>
      </c>
    </row>
    <row r="94" spans="1:5">
      <c r="A94" s="593">
        <v>8200</v>
      </c>
      <c r="B94" s="5" t="s">
        <v>1016</v>
      </c>
      <c r="C94" s="457" t="s">
        <v>1064</v>
      </c>
      <c r="D94" s="198" t="s">
        <v>286</v>
      </c>
      <c r="E94" s="145" t="s">
        <v>1067</v>
      </c>
    </row>
    <row r="95" spans="1:5">
      <c r="A95" s="593">
        <v>8205</v>
      </c>
      <c r="B95" s="5" t="s">
        <v>650</v>
      </c>
      <c r="C95" s="457" t="s">
        <v>1064</v>
      </c>
      <c r="D95" s="198" t="s">
        <v>286</v>
      </c>
      <c r="E95" s="145" t="s">
        <v>1067</v>
      </c>
    </row>
    <row r="96" spans="1:5">
      <c r="A96" s="593">
        <v>7060</v>
      </c>
      <c r="B96" s="5" t="s">
        <v>1070</v>
      </c>
      <c r="C96" s="198" t="s">
        <v>1027</v>
      </c>
      <c r="D96" s="198" t="s">
        <v>286</v>
      </c>
      <c r="E96" s="145" t="s">
        <v>1042</v>
      </c>
    </row>
    <row r="97" spans="1:6">
      <c r="A97" s="593">
        <v>7065</v>
      </c>
      <c r="B97" s="5" t="s">
        <v>643</v>
      </c>
      <c r="C97" s="457" t="s">
        <v>1064</v>
      </c>
      <c r="D97" s="198" t="s">
        <v>286</v>
      </c>
      <c r="E97" s="145" t="s">
        <v>1042</v>
      </c>
    </row>
    <row r="98" spans="1:6">
      <c r="A98" s="593">
        <v>7070</v>
      </c>
      <c r="B98" s="5" t="s">
        <v>644</v>
      </c>
      <c r="C98" s="457" t="s">
        <v>1064</v>
      </c>
      <c r="D98" s="198" t="s">
        <v>286</v>
      </c>
      <c r="E98" s="145" t="s">
        <v>1042</v>
      </c>
    </row>
    <row r="99" spans="1:6">
      <c r="A99" s="593">
        <v>7080</v>
      </c>
      <c r="B99" s="5" t="s">
        <v>671</v>
      </c>
      <c r="C99" s="457" t="s">
        <v>1030</v>
      </c>
      <c r="D99" s="198" t="s">
        <v>286</v>
      </c>
      <c r="E99" s="145" t="s">
        <v>1050</v>
      </c>
    </row>
    <row r="100" spans="1:6">
      <c r="A100" s="593">
        <v>7850</v>
      </c>
      <c r="B100" s="5" t="s">
        <v>672</v>
      </c>
      <c r="C100" s="457" t="s">
        <v>1030</v>
      </c>
      <c r="D100" s="198" t="s">
        <v>286</v>
      </c>
      <c r="E100" s="145" t="s">
        <v>1050</v>
      </c>
    </row>
    <row r="101" spans="1:6">
      <c r="A101" s="593" t="s">
        <v>1017</v>
      </c>
      <c r="B101" s="5" t="s">
        <v>1018</v>
      </c>
      <c r="C101" s="198" t="s">
        <v>1068</v>
      </c>
      <c r="D101" s="198" t="s">
        <v>295</v>
      </c>
      <c r="E101" s="145" t="s">
        <v>1042</v>
      </c>
    </row>
    <row r="102" spans="1:6">
      <c r="A102" s="593" t="s">
        <v>1019</v>
      </c>
      <c r="B102" s="5" t="s">
        <v>1020</v>
      </c>
      <c r="C102" s="198" t="s">
        <v>1068</v>
      </c>
      <c r="D102" s="198" t="s">
        <v>295</v>
      </c>
      <c r="E102" s="145" t="s">
        <v>1042</v>
      </c>
    </row>
    <row r="103" spans="1:6">
      <c r="A103" s="593" t="s">
        <v>1021</v>
      </c>
      <c r="B103" s="5" t="s">
        <v>1022</v>
      </c>
      <c r="C103" s="198" t="s">
        <v>1068</v>
      </c>
      <c r="D103" s="198" t="s">
        <v>295</v>
      </c>
      <c r="E103" s="145" t="s">
        <v>1042</v>
      </c>
    </row>
    <row r="104" spans="1:6">
      <c r="A104" s="593" t="s">
        <v>1023</v>
      </c>
      <c r="B104" s="5" t="s">
        <v>1024</v>
      </c>
      <c r="C104" s="198" t="s">
        <v>1068</v>
      </c>
      <c r="D104" s="198" t="s">
        <v>295</v>
      </c>
      <c r="E104" s="145" t="s">
        <v>1042</v>
      </c>
    </row>
    <row r="105" spans="1:6">
      <c r="A105" s="593" t="s">
        <v>1025</v>
      </c>
      <c r="B105" s="5" t="s">
        <v>1026</v>
      </c>
      <c r="C105" s="198" t="s">
        <v>1068</v>
      </c>
      <c r="D105" s="198" t="s">
        <v>295</v>
      </c>
      <c r="E105" s="145" t="s">
        <v>1069</v>
      </c>
    </row>
    <row r="106" spans="1:6">
      <c r="A106" s="667">
        <v>3150</v>
      </c>
      <c r="B106" s="5" t="s">
        <v>1248</v>
      </c>
      <c r="C106" s="457" t="s">
        <v>1250</v>
      </c>
      <c r="D106" s="198" t="s">
        <v>106</v>
      </c>
      <c r="E106" s="145" t="s">
        <v>1252</v>
      </c>
    </row>
    <row r="107" spans="1:6">
      <c r="A107" s="667">
        <v>3160</v>
      </c>
      <c r="B107" s="5" t="s">
        <v>1249</v>
      </c>
      <c r="C107" s="457" t="s">
        <v>1251</v>
      </c>
      <c r="D107" s="198" t="s">
        <v>106</v>
      </c>
      <c r="E107" s="145" t="s">
        <v>1253</v>
      </c>
    </row>
    <row r="108" spans="1:6">
      <c r="A108" s="745" t="s">
        <v>1073</v>
      </c>
      <c r="B108" s="745"/>
      <c r="C108" s="745"/>
      <c r="D108" s="745"/>
      <c r="E108" s="745"/>
      <c r="F108" s="745"/>
    </row>
    <row r="109" spans="1:6">
      <c r="A109" s="456">
        <v>2011</v>
      </c>
      <c r="B109" s="5" t="s">
        <v>1074</v>
      </c>
      <c r="C109" s="198" t="s">
        <v>1027</v>
      </c>
      <c r="D109" s="198" t="s">
        <v>106</v>
      </c>
      <c r="E109" s="145" t="s">
        <v>1044</v>
      </c>
    </row>
    <row r="110" spans="1:6">
      <c r="A110" s="456">
        <v>2010</v>
      </c>
      <c r="B110" s="5" t="s">
        <v>1075</v>
      </c>
      <c r="C110" s="198" t="s">
        <v>1027</v>
      </c>
      <c r="D110" s="198" t="s">
        <v>106</v>
      </c>
      <c r="E110" s="145" t="s">
        <v>1101</v>
      </c>
    </row>
    <row r="111" spans="1:6">
      <c r="A111" s="456">
        <v>2020</v>
      </c>
      <c r="B111" s="5" t="s">
        <v>1076</v>
      </c>
      <c r="C111" s="198" t="s">
        <v>1027</v>
      </c>
      <c r="D111" s="198" t="s">
        <v>106</v>
      </c>
      <c r="E111" s="145" t="s">
        <v>1102</v>
      </c>
    </row>
    <row r="112" spans="1:6">
      <c r="A112" s="456">
        <v>2021</v>
      </c>
      <c r="B112" s="5" t="s">
        <v>1077</v>
      </c>
      <c r="C112" s="198" t="s">
        <v>1027</v>
      </c>
      <c r="D112" s="198" t="s">
        <v>106</v>
      </c>
      <c r="E112" s="145" t="s">
        <v>1102</v>
      </c>
    </row>
    <row r="113" spans="1:5">
      <c r="A113" s="456">
        <v>2025</v>
      </c>
      <c r="B113" s="5" t="s">
        <v>1078</v>
      </c>
      <c r="C113" s="198" t="s">
        <v>1027</v>
      </c>
      <c r="D113" s="198" t="s">
        <v>106</v>
      </c>
      <c r="E113" s="145" t="s">
        <v>1101</v>
      </c>
    </row>
    <row r="114" spans="1:5">
      <c r="A114" s="456">
        <v>2026</v>
      </c>
      <c r="B114" s="5" t="s">
        <v>1079</v>
      </c>
      <c r="C114" s="198" t="s">
        <v>1027</v>
      </c>
      <c r="D114" s="198" t="s">
        <v>106</v>
      </c>
      <c r="E114" s="145" t="s">
        <v>1102</v>
      </c>
    </row>
    <row r="115" spans="1:5">
      <c r="A115" s="456">
        <v>2035</v>
      </c>
      <c r="B115" s="5" t="s">
        <v>1080</v>
      </c>
      <c r="C115" s="198" t="s">
        <v>1027</v>
      </c>
      <c r="D115" s="198" t="s">
        <v>106</v>
      </c>
      <c r="E115" s="145" t="s">
        <v>1044</v>
      </c>
    </row>
    <row r="116" spans="1:5">
      <c r="A116" s="456">
        <v>2036</v>
      </c>
      <c r="B116" s="5" t="s">
        <v>1081</v>
      </c>
      <c r="C116" s="198" t="s">
        <v>1027</v>
      </c>
      <c r="D116" s="198" t="s">
        <v>106</v>
      </c>
      <c r="E116" s="145" t="s">
        <v>1044</v>
      </c>
    </row>
    <row r="117" spans="1:5">
      <c r="A117" s="456">
        <v>2501</v>
      </c>
      <c r="B117" s="5" t="s">
        <v>1083</v>
      </c>
      <c r="C117" s="198" t="s">
        <v>1027</v>
      </c>
      <c r="D117" s="198" t="s">
        <v>289</v>
      </c>
      <c r="E117" s="145" t="s">
        <v>1104</v>
      </c>
    </row>
    <row r="118" spans="1:5">
      <c r="A118" s="456">
        <v>2701</v>
      </c>
      <c r="B118" s="5" t="s">
        <v>1084</v>
      </c>
      <c r="C118" s="198" t="s">
        <v>1027</v>
      </c>
      <c r="D118" s="198" t="s">
        <v>289</v>
      </c>
      <c r="E118" s="145" t="s">
        <v>1105</v>
      </c>
    </row>
    <row r="119" spans="1:5">
      <c r="A119" s="456">
        <v>9000</v>
      </c>
      <c r="B119" s="5" t="s">
        <v>1098</v>
      </c>
      <c r="C119" s="457" t="s">
        <v>1103</v>
      </c>
      <c r="D119" s="198" t="s">
        <v>1106</v>
      </c>
      <c r="E119" s="145" t="s">
        <v>1101</v>
      </c>
    </row>
    <row r="120" spans="1:5">
      <c r="A120" s="456">
        <v>9012</v>
      </c>
      <c r="B120" s="5" t="s">
        <v>1091</v>
      </c>
      <c r="C120" s="457" t="s">
        <v>1103</v>
      </c>
      <c r="D120" s="198" t="s">
        <v>1106</v>
      </c>
      <c r="E120" s="145" t="s">
        <v>1116</v>
      </c>
    </row>
    <row r="121" spans="1:5">
      <c r="A121" s="456">
        <v>9014</v>
      </c>
      <c r="B121" s="5" t="s">
        <v>1099</v>
      </c>
      <c r="C121" s="457" t="s">
        <v>1103</v>
      </c>
      <c r="D121" s="198" t="s">
        <v>1106</v>
      </c>
      <c r="E121" s="145" t="s">
        <v>1044</v>
      </c>
    </row>
    <row r="122" spans="1:5">
      <c r="A122" s="456">
        <v>9179</v>
      </c>
      <c r="B122" s="5" t="s">
        <v>1082</v>
      </c>
      <c r="C122" s="457" t="s">
        <v>1103</v>
      </c>
      <c r="D122" s="198" t="s">
        <v>1106</v>
      </c>
      <c r="E122" s="145" t="s">
        <v>1042</v>
      </c>
    </row>
    <row r="123" spans="1:5">
      <c r="A123" s="456">
        <v>1000</v>
      </c>
      <c r="B123" s="5" t="s">
        <v>1089</v>
      </c>
      <c r="C123" s="457" t="s">
        <v>1117</v>
      </c>
      <c r="D123" s="198" t="s">
        <v>289</v>
      </c>
      <c r="E123" s="145" t="s">
        <v>1055</v>
      </c>
    </row>
    <row r="124" spans="1:5">
      <c r="A124" s="456">
        <v>2000</v>
      </c>
      <c r="B124" s="5" t="s">
        <v>1088</v>
      </c>
      <c r="C124" s="457" t="s">
        <v>1117</v>
      </c>
      <c r="D124" s="198" t="s">
        <v>289</v>
      </c>
      <c r="E124" s="145" t="s">
        <v>1055</v>
      </c>
    </row>
    <row r="125" spans="1:5">
      <c r="A125" s="456">
        <v>5000</v>
      </c>
      <c r="B125" s="5" t="s">
        <v>1090</v>
      </c>
      <c r="C125" s="457" t="s">
        <v>1117</v>
      </c>
      <c r="D125" s="198" t="s">
        <v>289</v>
      </c>
      <c r="E125" s="145" t="s">
        <v>1055</v>
      </c>
    </row>
    <row r="126" spans="1:5">
      <c r="A126" s="456">
        <v>4000</v>
      </c>
      <c r="B126" s="5" t="s">
        <v>1091</v>
      </c>
      <c r="C126" s="457" t="s">
        <v>1117</v>
      </c>
      <c r="D126" s="198" t="s">
        <v>289</v>
      </c>
      <c r="E126" s="145" t="s">
        <v>1055</v>
      </c>
    </row>
    <row r="127" spans="1:5">
      <c r="A127" s="456">
        <v>4040</v>
      </c>
      <c r="B127" s="5" t="s">
        <v>1092</v>
      </c>
      <c r="C127" s="457" t="s">
        <v>1117</v>
      </c>
      <c r="D127" s="198" t="s">
        <v>289</v>
      </c>
      <c r="E127" s="145" t="s">
        <v>1055</v>
      </c>
    </row>
    <row r="128" spans="1:5">
      <c r="A128" s="456">
        <v>4013</v>
      </c>
      <c r="B128" s="5" t="s">
        <v>1093</v>
      </c>
      <c r="C128" s="457" t="s">
        <v>1117</v>
      </c>
      <c r="D128" s="198" t="s">
        <v>289</v>
      </c>
      <c r="E128" s="145" t="s">
        <v>1055</v>
      </c>
    </row>
    <row r="129" spans="1:5">
      <c r="A129" s="456">
        <v>4023</v>
      </c>
      <c r="B129" s="5" t="s">
        <v>1094</v>
      </c>
      <c r="C129" s="457" t="s">
        <v>1117</v>
      </c>
      <c r="D129" s="198" t="s">
        <v>289</v>
      </c>
      <c r="E129" s="145" t="s">
        <v>1055</v>
      </c>
    </row>
    <row r="130" spans="1:5">
      <c r="A130" s="456">
        <v>4045</v>
      </c>
      <c r="B130" s="5" t="s">
        <v>1095</v>
      </c>
      <c r="C130" s="457" t="s">
        <v>1117</v>
      </c>
      <c r="D130" s="198" t="s">
        <v>289</v>
      </c>
      <c r="E130" s="145" t="s">
        <v>1055</v>
      </c>
    </row>
    <row r="131" spans="1:5">
      <c r="A131" s="456">
        <v>4046</v>
      </c>
      <c r="B131" s="5" t="s">
        <v>1096</v>
      </c>
      <c r="C131" s="457" t="s">
        <v>1117</v>
      </c>
      <c r="D131" s="198" t="s">
        <v>289</v>
      </c>
      <c r="E131" s="145" t="s">
        <v>1055</v>
      </c>
    </row>
    <row r="132" spans="1:5">
      <c r="A132" s="456">
        <v>4047</v>
      </c>
      <c r="B132" s="5" t="s">
        <v>1097</v>
      </c>
      <c r="C132" s="457" t="s">
        <v>1117</v>
      </c>
      <c r="D132" s="198" t="s">
        <v>289</v>
      </c>
      <c r="E132" s="145" t="s">
        <v>1055</v>
      </c>
    </row>
    <row r="133" spans="1:5">
      <c r="A133" s="456">
        <v>3011</v>
      </c>
      <c r="B133" s="5" t="s">
        <v>995</v>
      </c>
      <c r="C133" s="457" t="s">
        <v>1117</v>
      </c>
      <c r="D133" s="198" t="s">
        <v>291</v>
      </c>
      <c r="E133" s="145" t="s">
        <v>1055</v>
      </c>
    </row>
    <row r="134" spans="1:5">
      <c r="A134" s="456">
        <v>3040</v>
      </c>
      <c r="B134" s="5" t="s">
        <v>1085</v>
      </c>
      <c r="C134" s="457" t="s">
        <v>1117</v>
      </c>
      <c r="D134" s="198" t="s">
        <v>291</v>
      </c>
      <c r="E134" s="145" t="s">
        <v>1055</v>
      </c>
    </row>
    <row r="135" spans="1:5">
      <c r="A135" s="456">
        <v>3041</v>
      </c>
      <c r="B135" s="5" t="s">
        <v>1086</v>
      </c>
      <c r="C135" s="457" t="s">
        <v>1117</v>
      </c>
      <c r="D135" s="198" t="s">
        <v>291</v>
      </c>
      <c r="E135" s="145" t="s">
        <v>1055</v>
      </c>
    </row>
    <row r="136" spans="1:5">
      <c r="A136" s="456">
        <v>3057</v>
      </c>
      <c r="B136" s="5" t="s">
        <v>991</v>
      </c>
      <c r="C136" s="457" t="s">
        <v>1117</v>
      </c>
      <c r="D136" s="198" t="s">
        <v>291</v>
      </c>
      <c r="E136" s="145" t="s">
        <v>1055</v>
      </c>
    </row>
    <row r="137" spans="1:5">
      <c r="A137" s="456">
        <v>3042</v>
      </c>
      <c r="B137" s="5" t="s">
        <v>997</v>
      </c>
      <c r="C137" s="457" t="s">
        <v>1117</v>
      </c>
      <c r="D137" s="198" t="s">
        <v>291</v>
      </c>
      <c r="E137" s="145" t="s">
        <v>1062</v>
      </c>
    </row>
    <row r="138" spans="1:5">
      <c r="A138" s="456">
        <v>3043</v>
      </c>
      <c r="B138" s="5" t="s">
        <v>998</v>
      </c>
      <c r="C138" s="457" t="s">
        <v>1117</v>
      </c>
      <c r="D138" s="198" t="s">
        <v>291</v>
      </c>
      <c r="E138" s="145" t="s">
        <v>1055</v>
      </c>
    </row>
    <row r="139" spans="1:5">
      <c r="A139" s="456">
        <v>3044</v>
      </c>
      <c r="B139" s="5" t="s">
        <v>999</v>
      </c>
      <c r="C139" s="457" t="s">
        <v>1117</v>
      </c>
      <c r="D139" s="198" t="s">
        <v>291</v>
      </c>
      <c r="E139" s="145" t="s">
        <v>1055</v>
      </c>
    </row>
    <row r="140" spans="1:5">
      <c r="A140" s="456">
        <v>3045</v>
      </c>
      <c r="B140" s="5" t="s">
        <v>989</v>
      </c>
      <c r="C140" s="457" t="s">
        <v>1117</v>
      </c>
      <c r="D140" s="198" t="s">
        <v>291</v>
      </c>
      <c r="E140" s="145" t="s">
        <v>1055</v>
      </c>
    </row>
    <row r="141" spans="1:5">
      <c r="A141" s="456">
        <v>3046</v>
      </c>
      <c r="B141" s="5" t="s">
        <v>992</v>
      </c>
      <c r="C141" s="457" t="s">
        <v>1117</v>
      </c>
      <c r="D141" s="198" t="s">
        <v>291</v>
      </c>
      <c r="E141" s="145" t="s">
        <v>1055</v>
      </c>
    </row>
    <row r="142" spans="1:5">
      <c r="A142" s="456">
        <v>3047</v>
      </c>
      <c r="B142" s="5" t="s">
        <v>990</v>
      </c>
      <c r="C142" s="457" t="s">
        <v>1117</v>
      </c>
      <c r="D142" s="198" t="s">
        <v>291</v>
      </c>
      <c r="E142" s="145" t="s">
        <v>1055</v>
      </c>
    </row>
    <row r="143" spans="1:5">
      <c r="A143" s="456">
        <v>3048</v>
      </c>
      <c r="B143" s="5" t="s">
        <v>1087</v>
      </c>
      <c r="C143" s="457" t="s">
        <v>1117</v>
      </c>
      <c r="D143" s="198" t="s">
        <v>291</v>
      </c>
      <c r="E143" s="145" t="s">
        <v>1055</v>
      </c>
    </row>
    <row r="144" spans="1:5">
      <c r="A144" s="456" t="s">
        <v>1109</v>
      </c>
      <c r="B144" s="5" t="s">
        <v>1110</v>
      </c>
      <c r="C144" s="457" t="s">
        <v>1111</v>
      </c>
      <c r="D144" s="198" t="s">
        <v>1114</v>
      </c>
      <c r="E144" s="600" t="s">
        <v>1115</v>
      </c>
    </row>
    <row r="145" spans="1:5">
      <c r="A145" s="601" t="s">
        <v>1118</v>
      </c>
      <c r="B145" s="5" t="s">
        <v>1119</v>
      </c>
      <c r="C145" s="198" t="s">
        <v>1027</v>
      </c>
      <c r="D145" s="198" t="s">
        <v>106</v>
      </c>
      <c r="E145" s="600" t="s">
        <v>1115</v>
      </c>
    </row>
    <row r="146" spans="1:5">
      <c r="A146" s="456">
        <v>2300</v>
      </c>
      <c r="B146" s="5" t="s">
        <v>1360</v>
      </c>
      <c r="C146" s="198" t="s">
        <v>645</v>
      </c>
      <c r="D146" s="198" t="s">
        <v>106</v>
      </c>
      <c r="E146" s="145" t="s">
        <v>1377</v>
      </c>
    </row>
    <row r="147" spans="1:5">
      <c r="A147" s="456">
        <v>2301</v>
      </c>
      <c r="B147" s="5" t="s">
        <v>1361</v>
      </c>
      <c r="C147" s="198" t="s">
        <v>645</v>
      </c>
      <c r="D147" s="198" t="s">
        <v>106</v>
      </c>
      <c r="E147" s="145" t="s">
        <v>1377</v>
      </c>
    </row>
    <row r="148" spans="1:5">
      <c r="A148" s="456">
        <v>2302</v>
      </c>
      <c r="B148" s="5" t="s">
        <v>1362</v>
      </c>
      <c r="C148" s="198" t="s">
        <v>645</v>
      </c>
      <c r="D148" s="198" t="s">
        <v>106</v>
      </c>
      <c r="E148" s="145" t="s">
        <v>1377</v>
      </c>
    </row>
    <row r="149" spans="1:5">
      <c r="A149" s="456">
        <v>2303</v>
      </c>
      <c r="B149" s="5" t="s">
        <v>1363</v>
      </c>
      <c r="C149" s="198" t="s">
        <v>645</v>
      </c>
      <c r="D149" s="198" t="s">
        <v>106</v>
      </c>
      <c r="E149" s="145" t="s">
        <v>1377</v>
      </c>
    </row>
    <row r="150" spans="1:5">
      <c r="A150" s="456">
        <v>2304</v>
      </c>
      <c r="B150" s="5" t="s">
        <v>1364</v>
      </c>
      <c r="C150" s="198" t="s">
        <v>645</v>
      </c>
      <c r="D150" s="198" t="s">
        <v>106</v>
      </c>
      <c r="E150" s="145" t="s">
        <v>1377</v>
      </c>
    </row>
    <row r="151" spans="1:5">
      <c r="A151" s="456">
        <v>2305</v>
      </c>
      <c r="B151" s="5" t="s">
        <v>1365</v>
      </c>
      <c r="C151" s="198" t="s">
        <v>645</v>
      </c>
      <c r="D151" s="198" t="s">
        <v>106</v>
      </c>
      <c r="E151" s="145" t="s">
        <v>1377</v>
      </c>
    </row>
    <row r="152" spans="1:5">
      <c r="A152" s="456">
        <v>2306</v>
      </c>
      <c r="B152" s="5" t="s">
        <v>1366</v>
      </c>
      <c r="C152" s="198" t="s">
        <v>645</v>
      </c>
      <c r="D152" s="198" t="s">
        <v>106</v>
      </c>
      <c r="E152" s="145" t="s">
        <v>1377</v>
      </c>
    </row>
    <row r="153" spans="1:5">
      <c r="A153" s="456">
        <v>2310</v>
      </c>
      <c r="B153" s="5" t="s">
        <v>1367</v>
      </c>
      <c r="C153" s="198" t="s">
        <v>645</v>
      </c>
      <c r="D153" s="198" t="s">
        <v>106</v>
      </c>
      <c r="E153" s="145" t="s">
        <v>1377</v>
      </c>
    </row>
    <row r="154" spans="1:5">
      <c r="A154" s="456">
        <v>2311</v>
      </c>
      <c r="B154" s="5" t="s">
        <v>1368</v>
      </c>
      <c r="C154" s="198" t="s">
        <v>645</v>
      </c>
      <c r="D154" s="198" t="s">
        <v>106</v>
      </c>
      <c r="E154" s="145" t="s">
        <v>1377</v>
      </c>
    </row>
    <row r="155" spans="1:5">
      <c r="A155" s="456">
        <v>2312</v>
      </c>
      <c r="B155" s="5" t="s">
        <v>1369</v>
      </c>
      <c r="C155" s="198" t="s">
        <v>645</v>
      </c>
      <c r="D155" s="198" t="s">
        <v>106</v>
      </c>
      <c r="E155" s="145" t="s">
        <v>1377</v>
      </c>
    </row>
    <row r="156" spans="1:5">
      <c r="A156" s="456">
        <v>2313</v>
      </c>
      <c r="B156" s="5" t="s">
        <v>1370</v>
      </c>
      <c r="C156" s="198" t="s">
        <v>645</v>
      </c>
      <c r="D156" s="198" t="s">
        <v>106</v>
      </c>
      <c r="E156" s="145" t="s">
        <v>1377</v>
      </c>
    </row>
    <row r="157" spans="1:5">
      <c r="A157" s="456">
        <v>2314</v>
      </c>
      <c r="B157" s="5" t="s">
        <v>1371</v>
      </c>
      <c r="C157" s="198" t="s">
        <v>645</v>
      </c>
      <c r="D157" s="198" t="s">
        <v>106</v>
      </c>
      <c r="E157" s="145" t="s">
        <v>1377</v>
      </c>
    </row>
    <row r="158" spans="1:5">
      <c r="A158" s="456">
        <v>2315</v>
      </c>
      <c r="B158" s="5" t="s">
        <v>1372</v>
      </c>
      <c r="C158" s="198" t="s">
        <v>645</v>
      </c>
      <c r="D158" s="198" t="s">
        <v>106</v>
      </c>
      <c r="E158" s="145" t="s">
        <v>1377</v>
      </c>
    </row>
    <row r="159" spans="1:5">
      <c r="A159" s="456">
        <v>2316</v>
      </c>
      <c r="B159" s="5" t="s">
        <v>1373</v>
      </c>
      <c r="C159" s="198" t="s">
        <v>645</v>
      </c>
      <c r="D159" s="198" t="s">
        <v>106</v>
      </c>
      <c r="E159" s="145" t="s">
        <v>1377</v>
      </c>
    </row>
    <row r="160" spans="1:5">
      <c r="A160" s="456">
        <v>2375</v>
      </c>
      <c r="B160" s="5" t="s">
        <v>1374</v>
      </c>
      <c r="C160" s="198"/>
      <c r="D160" s="198" t="s">
        <v>106</v>
      </c>
    </row>
    <row r="161" spans="1:5">
      <c r="A161" s="456">
        <v>2376</v>
      </c>
      <c r="B161" s="5" t="s">
        <v>1375</v>
      </c>
      <c r="C161" s="198"/>
      <c r="D161" s="198" t="s">
        <v>106</v>
      </c>
    </row>
    <row r="162" spans="1:5">
      <c r="A162" s="456">
        <v>9180</v>
      </c>
      <c r="B162" s="5" t="s">
        <v>1360</v>
      </c>
      <c r="C162" s="691" t="s">
        <v>1376</v>
      </c>
      <c r="D162" s="198" t="s">
        <v>106</v>
      </c>
      <c r="E162" s="145" t="s">
        <v>1377</v>
      </c>
    </row>
    <row r="163" spans="1:5">
      <c r="A163" s="456">
        <v>9181</v>
      </c>
      <c r="B163" s="5" t="s">
        <v>1361</v>
      </c>
      <c r="C163" s="691" t="s">
        <v>1376</v>
      </c>
      <c r="D163" s="198" t="s">
        <v>106</v>
      </c>
      <c r="E163" s="145" t="s">
        <v>1377</v>
      </c>
    </row>
    <row r="164" spans="1:5">
      <c r="A164" s="456">
        <v>9182</v>
      </c>
      <c r="B164" s="5" t="s">
        <v>1362</v>
      </c>
      <c r="C164" s="691" t="s">
        <v>1376</v>
      </c>
      <c r="D164" s="198" t="s">
        <v>106</v>
      </c>
      <c r="E164" s="145" t="s">
        <v>1377</v>
      </c>
    </row>
    <row r="165" spans="1:5">
      <c r="A165" s="456">
        <v>9183</v>
      </c>
      <c r="B165" s="5" t="s">
        <v>1363</v>
      </c>
      <c r="C165" s="691" t="s">
        <v>1376</v>
      </c>
      <c r="D165" s="198" t="s">
        <v>106</v>
      </c>
      <c r="E165" s="145" t="s">
        <v>1377</v>
      </c>
    </row>
    <row r="166" spans="1:5">
      <c r="A166" s="456">
        <v>9184</v>
      </c>
      <c r="B166" s="5" t="s">
        <v>1364</v>
      </c>
      <c r="C166" s="691" t="s">
        <v>1376</v>
      </c>
      <c r="D166" s="198" t="s">
        <v>106</v>
      </c>
      <c r="E166" s="145" t="s">
        <v>1377</v>
      </c>
    </row>
    <row r="167" spans="1:5">
      <c r="A167" s="456">
        <v>9185</v>
      </c>
      <c r="B167" s="5" t="s">
        <v>1365</v>
      </c>
      <c r="C167" s="691" t="s">
        <v>1376</v>
      </c>
      <c r="D167" s="198" t="s">
        <v>106</v>
      </c>
      <c r="E167" s="145" t="s">
        <v>1377</v>
      </c>
    </row>
    <row r="168" spans="1:5">
      <c r="A168" s="456">
        <v>9186</v>
      </c>
      <c r="B168" s="5" t="s">
        <v>1366</v>
      </c>
      <c r="C168" s="691" t="s">
        <v>1376</v>
      </c>
      <c r="D168" s="198" t="s">
        <v>106</v>
      </c>
      <c r="E168" s="145" t="s">
        <v>1377</v>
      </c>
    </row>
    <row r="169" spans="1:5">
      <c r="A169" s="456">
        <v>9190</v>
      </c>
      <c r="B169" s="5" t="s">
        <v>1367</v>
      </c>
      <c r="C169" s="691" t="s">
        <v>1376</v>
      </c>
      <c r="D169" s="198" t="s">
        <v>106</v>
      </c>
      <c r="E169" s="145" t="s">
        <v>1377</v>
      </c>
    </row>
    <row r="170" spans="1:5">
      <c r="A170" s="456">
        <v>9191</v>
      </c>
      <c r="B170" s="5" t="s">
        <v>1368</v>
      </c>
      <c r="C170" s="691" t="s">
        <v>1376</v>
      </c>
      <c r="D170" s="198" t="s">
        <v>106</v>
      </c>
      <c r="E170" s="145" t="s">
        <v>1377</v>
      </c>
    </row>
    <row r="171" spans="1:5">
      <c r="A171" s="456">
        <v>9192</v>
      </c>
      <c r="B171" s="5" t="s">
        <v>1369</v>
      </c>
      <c r="C171" s="691" t="s">
        <v>1376</v>
      </c>
      <c r="D171" s="198" t="s">
        <v>106</v>
      </c>
      <c r="E171" s="145" t="s">
        <v>1377</v>
      </c>
    </row>
    <row r="172" spans="1:5">
      <c r="A172" s="456">
        <v>9193</v>
      </c>
      <c r="B172" s="5" t="s">
        <v>1370</v>
      </c>
      <c r="C172" s="691" t="s">
        <v>1376</v>
      </c>
      <c r="D172" s="198" t="s">
        <v>106</v>
      </c>
      <c r="E172" s="145" t="s">
        <v>1377</v>
      </c>
    </row>
    <row r="173" spans="1:5">
      <c r="A173" s="456">
        <v>9194</v>
      </c>
      <c r="B173" s="5" t="s">
        <v>1371</v>
      </c>
      <c r="C173" s="691" t="s">
        <v>1376</v>
      </c>
      <c r="D173" s="198" t="s">
        <v>106</v>
      </c>
      <c r="E173" s="145" t="s">
        <v>1377</v>
      </c>
    </row>
    <row r="174" spans="1:5">
      <c r="A174" s="456">
        <v>9195</v>
      </c>
      <c r="B174" s="5" t="s">
        <v>1372</v>
      </c>
      <c r="C174" s="691" t="s">
        <v>1376</v>
      </c>
      <c r="D174" s="198" t="s">
        <v>106</v>
      </c>
      <c r="E174" s="145" t="s">
        <v>1377</v>
      </c>
    </row>
    <row r="175" spans="1:5">
      <c r="A175" s="456">
        <v>9196</v>
      </c>
      <c r="B175" s="5" t="s">
        <v>1373</v>
      </c>
      <c r="C175" s="691" t="s">
        <v>1376</v>
      </c>
      <c r="D175" s="198" t="s">
        <v>106</v>
      </c>
      <c r="E175" s="145" t="s">
        <v>1377</v>
      </c>
    </row>
    <row r="176" spans="1:5">
      <c r="C176" s="691"/>
      <c r="D176" s="198"/>
    </row>
  </sheetData>
  <mergeCells count="2">
    <mergeCell ref="A6:F6"/>
    <mergeCell ref="A108:F108"/>
  </mergeCells>
  <phoneticPr fontId="11" type="noConversion"/>
  <dataValidations count="2">
    <dataValidation type="list" allowBlank="1" showInputMessage="1" showErrorMessage="1" sqref="D145:D176" xr:uid="{00000000-0002-0000-0600-000000000000}">
      <formula1>WTtype</formula1>
    </dataValidation>
    <dataValidation type="list" allowBlank="1" showInputMessage="1" showErrorMessage="1" sqref="C7:C107 C109:C161" xr:uid="{00000000-0002-0000-0600-000001000000}">
      <formula1>WTinfotype</formula1>
    </dataValidation>
  </dataValidations>
  <pageMargins left="0.75" right="0.75" top="1" bottom="1" header="0.5" footer="0.5"/>
  <headerFooter alignWithMargins="0"/>
  <ignoredErrors>
    <ignoredError sqref="A7 A10 A30 A55:A56 C7:C11 C17:C18 C26 C30 C33 C36 C39" numberStoredAsText="1"/>
  </ignoredErrors>
  <drawing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600-000002000000}">
          <x14:formula1>
            <xm:f>'Data Validation HIDE'!$B$30:$B$38</xm:f>
          </x14:formula1>
          <xm:sqref>D7:D107</xm:sqref>
        </x14:dataValidation>
        <x14:dataValidation type="list" allowBlank="1" showInputMessage="1" showErrorMessage="1" xr:uid="{00000000-0002-0000-0600-000003000000}">
          <x14:formula1>
            <xm:f>'Data Validation HIDE'!$B$30:$B$39</xm:f>
          </x14:formula1>
          <xm:sqref>D109:D144</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64"/>
  <sheetViews>
    <sheetView topLeftCell="A6" zoomScaleNormal="100" workbookViewId="0">
      <selection activeCell="J16" sqref="J16"/>
    </sheetView>
  </sheetViews>
  <sheetFormatPr defaultRowHeight="13.2"/>
  <cols>
    <col min="1" max="1" width="29.6640625" customWidth="1"/>
    <col min="3" max="5" width="10.6640625" customWidth="1"/>
    <col min="6" max="6" width="13.5546875" customWidth="1"/>
    <col min="7" max="7" width="10.6640625" customWidth="1"/>
    <col min="8" max="10" width="12.6640625" customWidth="1"/>
    <col min="11" max="11" width="15.6640625" customWidth="1"/>
    <col min="12" max="12" width="15.44140625" customWidth="1"/>
  </cols>
  <sheetData>
    <row r="1" spans="1:18" ht="17.399999999999999">
      <c r="A1" s="104" t="s">
        <v>6</v>
      </c>
      <c r="K1" s="79"/>
    </row>
    <row r="2" spans="1:18">
      <c r="K2" s="79"/>
    </row>
    <row r="3" spans="1:18">
      <c r="K3" s="79"/>
    </row>
    <row r="4" spans="1:18" ht="30">
      <c r="A4" s="106" t="s">
        <v>335</v>
      </c>
      <c r="K4" s="79"/>
    </row>
    <row r="5" spans="1:18" ht="13.8">
      <c r="G5" s="182"/>
      <c r="H5" s="181"/>
      <c r="I5" s="181"/>
      <c r="J5" s="181"/>
      <c r="K5" s="165"/>
    </row>
    <row r="6" spans="1:18" ht="13.8">
      <c r="D6" s="5"/>
      <c r="E6" s="5"/>
      <c r="F6" s="5"/>
      <c r="G6" s="5"/>
      <c r="H6" s="5"/>
      <c r="I6" s="5"/>
      <c r="J6" s="5"/>
      <c r="K6" s="145"/>
      <c r="L6" s="5"/>
      <c r="M6" s="5"/>
      <c r="N6" s="5"/>
      <c r="O6" s="5"/>
      <c r="P6" s="5"/>
      <c r="Q6" s="5"/>
      <c r="R6" s="5"/>
    </row>
    <row r="7" spans="1:18" ht="13.8">
      <c r="A7" s="224" t="s">
        <v>273</v>
      </c>
      <c r="B7" s="183">
        <f>MAX('Index List'!A:A)</f>
        <v>64</v>
      </c>
      <c r="C7" s="185"/>
      <c r="D7" s="5"/>
      <c r="E7" s="5"/>
      <c r="F7" s="5"/>
      <c r="G7" s="223" t="s">
        <v>275</v>
      </c>
      <c r="H7" s="223" t="s">
        <v>187</v>
      </c>
      <c r="I7" s="223" t="s">
        <v>359</v>
      </c>
      <c r="J7" s="223" t="s">
        <v>277</v>
      </c>
      <c r="K7" s="226" t="s">
        <v>360</v>
      </c>
      <c r="L7" s="5"/>
      <c r="M7" s="5"/>
      <c r="N7" s="5"/>
      <c r="O7" s="5"/>
      <c r="P7" s="5"/>
      <c r="Q7" s="5"/>
    </row>
    <row r="8" spans="1:18" ht="13.8">
      <c r="A8" s="149" t="s">
        <v>274</v>
      </c>
      <c r="B8" s="153">
        <f>B9+B10+B11+B12</f>
        <v>64</v>
      </c>
      <c r="C8" s="146">
        <f>C9+C10+C11+C12</f>
        <v>1</v>
      </c>
      <c r="D8" s="5"/>
      <c r="E8" s="5"/>
      <c r="F8" s="5"/>
      <c r="G8" s="245">
        <v>1</v>
      </c>
      <c r="H8" s="246">
        <v>43466</v>
      </c>
      <c r="I8" s="578">
        <v>0.08</v>
      </c>
      <c r="J8" s="152" t="s">
        <v>1243</v>
      </c>
      <c r="K8" s="248">
        <f>IF(J8="Y",I8,0)</f>
        <v>0.08</v>
      </c>
      <c r="L8" s="5"/>
      <c r="M8" s="5"/>
      <c r="N8" s="5"/>
      <c r="O8" s="5"/>
      <c r="P8" s="5"/>
      <c r="Q8" s="5"/>
    </row>
    <row r="9" spans="1:18" ht="13.8">
      <c r="A9" s="149" t="s">
        <v>278</v>
      </c>
      <c r="B9" s="148">
        <v>22</v>
      </c>
      <c r="C9" s="151">
        <f>B9/$B$7</f>
        <v>0.34375</v>
      </c>
      <c r="D9" s="5"/>
      <c r="E9" s="5"/>
      <c r="F9" s="5"/>
      <c r="G9" s="245">
        <v>2</v>
      </c>
      <c r="H9" s="246">
        <v>43497</v>
      </c>
      <c r="I9" s="578">
        <v>0.08</v>
      </c>
      <c r="J9" s="152" t="s">
        <v>1243</v>
      </c>
      <c r="K9" s="248">
        <f>IF(J9="Y",I9+K8,K8)</f>
        <v>0.16</v>
      </c>
      <c r="L9" s="5"/>
      <c r="M9" s="5"/>
      <c r="N9" s="5"/>
      <c r="O9" s="5"/>
      <c r="P9" s="5"/>
      <c r="Q9" s="5"/>
    </row>
    <row r="10" spans="1:18" ht="13.8">
      <c r="A10" s="184" t="s">
        <v>279</v>
      </c>
      <c r="B10" s="183">
        <v>38</v>
      </c>
      <c r="C10" s="151">
        <f>B10/$B$7</f>
        <v>0.59375</v>
      </c>
      <c r="D10" s="5"/>
      <c r="E10" s="5"/>
      <c r="F10" s="5"/>
      <c r="G10" s="245">
        <v>3</v>
      </c>
      <c r="H10" s="246">
        <v>43525</v>
      </c>
      <c r="I10" s="578">
        <v>0.08</v>
      </c>
      <c r="J10" s="152" t="s">
        <v>1243</v>
      </c>
      <c r="K10" s="248">
        <f t="shared" ref="K10:K20" si="0">IF(J10="Y",I10+K9,K9)</f>
        <v>0.24</v>
      </c>
      <c r="L10" s="5"/>
      <c r="M10" s="5"/>
      <c r="N10" s="5"/>
      <c r="O10" s="5"/>
      <c r="P10" s="5"/>
      <c r="Q10" s="5"/>
    </row>
    <row r="11" spans="1:18" ht="13.8">
      <c r="A11" s="180" t="s">
        <v>280</v>
      </c>
      <c r="B11" s="183">
        <v>1</v>
      </c>
      <c r="C11" s="151">
        <f>B11/$B$7</f>
        <v>1.5625E-2</v>
      </c>
      <c r="D11" s="5"/>
      <c r="E11" s="5"/>
      <c r="F11" s="5"/>
      <c r="G11" s="245">
        <v>4</v>
      </c>
      <c r="H11" s="246">
        <v>43556</v>
      </c>
      <c r="I11" s="578">
        <v>0.08</v>
      </c>
      <c r="J11" s="152" t="s">
        <v>1391</v>
      </c>
      <c r="K11" s="248">
        <f t="shared" si="0"/>
        <v>0.32</v>
      </c>
      <c r="L11" s="5"/>
      <c r="M11" s="5"/>
      <c r="N11" s="5"/>
      <c r="O11" s="5"/>
      <c r="P11" s="5"/>
      <c r="Q11" s="5"/>
    </row>
    <row r="12" spans="1:18" ht="13.8">
      <c r="A12" s="180" t="s">
        <v>281</v>
      </c>
      <c r="B12" s="183">
        <v>3</v>
      </c>
      <c r="C12" s="151">
        <f>B12/$B$7</f>
        <v>4.6875E-2</v>
      </c>
      <c r="D12" s="5"/>
      <c r="E12" s="5"/>
      <c r="F12" s="5"/>
      <c r="G12" s="245">
        <v>5</v>
      </c>
      <c r="H12" s="246">
        <v>43586</v>
      </c>
      <c r="I12" s="578">
        <v>0.06</v>
      </c>
      <c r="J12" s="152" t="s">
        <v>1391</v>
      </c>
      <c r="K12" s="248">
        <f t="shared" si="0"/>
        <v>0.38</v>
      </c>
      <c r="L12" s="5"/>
      <c r="M12" s="5"/>
      <c r="N12" s="5"/>
      <c r="O12" s="5"/>
      <c r="P12" s="5"/>
      <c r="Q12" s="5"/>
    </row>
    <row r="13" spans="1:18" ht="13.8">
      <c r="A13" s="5"/>
      <c r="B13" s="5"/>
      <c r="C13" s="5"/>
      <c r="D13" s="5"/>
      <c r="E13" s="5"/>
      <c r="F13" s="5"/>
      <c r="G13" s="245">
        <v>6</v>
      </c>
      <c r="H13" s="246">
        <v>43617</v>
      </c>
      <c r="I13" s="578">
        <v>0.1</v>
      </c>
      <c r="J13" s="152" t="s">
        <v>1405</v>
      </c>
      <c r="K13" s="248">
        <f t="shared" si="0"/>
        <v>0.48</v>
      </c>
      <c r="L13" s="5"/>
      <c r="M13" s="5"/>
      <c r="N13" s="5"/>
      <c r="O13" s="5"/>
      <c r="P13" s="5"/>
      <c r="Q13" s="5"/>
    </row>
    <row r="14" spans="1:18" ht="13.8">
      <c r="A14" s="5"/>
      <c r="B14" s="5"/>
      <c r="C14" s="5"/>
      <c r="D14" s="5"/>
      <c r="E14" s="5"/>
      <c r="F14" s="5"/>
      <c r="G14" s="245">
        <v>7</v>
      </c>
      <c r="H14" s="246">
        <v>43647</v>
      </c>
      <c r="I14" s="578">
        <v>7.0000000000000007E-2</v>
      </c>
      <c r="J14" s="152" t="s">
        <v>1411</v>
      </c>
      <c r="K14" s="248">
        <f t="shared" si="0"/>
        <v>0.55000000000000004</v>
      </c>
      <c r="L14" s="5"/>
      <c r="M14" s="5"/>
      <c r="N14" s="5"/>
      <c r="O14" s="5"/>
      <c r="P14" s="5"/>
      <c r="Q14" s="5"/>
    </row>
    <row r="15" spans="1:18" ht="13.8">
      <c r="A15" s="5"/>
      <c r="B15" s="5"/>
      <c r="C15" s="5"/>
      <c r="D15" s="5"/>
      <c r="E15" s="5"/>
      <c r="F15" s="5"/>
      <c r="G15" s="245">
        <v>8</v>
      </c>
      <c r="H15" s="246">
        <v>43678</v>
      </c>
      <c r="I15" s="578">
        <v>0.08</v>
      </c>
      <c r="J15" s="152" t="s">
        <v>1458</v>
      </c>
      <c r="K15" s="248">
        <f t="shared" si="0"/>
        <v>0.63</v>
      </c>
      <c r="L15" s="5"/>
      <c r="M15" s="5"/>
      <c r="N15" s="5"/>
      <c r="O15" s="5"/>
      <c r="P15" s="5"/>
      <c r="Q15" s="5"/>
    </row>
    <row r="16" spans="1:18" ht="13.8">
      <c r="A16" s="5"/>
      <c r="B16" s="5"/>
      <c r="C16" s="5"/>
      <c r="D16" s="5"/>
      <c r="E16" s="5"/>
      <c r="F16" s="5"/>
      <c r="G16" s="245">
        <v>9</v>
      </c>
      <c r="H16" s="246">
        <v>43709</v>
      </c>
      <c r="I16" s="578">
        <v>0.06</v>
      </c>
      <c r="J16" s="152" t="s">
        <v>197</v>
      </c>
      <c r="K16" s="248">
        <f t="shared" si="0"/>
        <v>0.63</v>
      </c>
      <c r="L16" s="5"/>
      <c r="M16" s="5"/>
      <c r="N16" s="5"/>
      <c r="O16" s="5"/>
      <c r="P16" s="5"/>
      <c r="Q16" s="5"/>
    </row>
    <row r="17" spans="1:18" ht="13.8">
      <c r="A17" s="5"/>
      <c r="B17" s="5"/>
      <c r="C17" s="5"/>
      <c r="D17" s="5"/>
      <c r="E17" s="5"/>
      <c r="F17" s="5"/>
      <c r="G17" s="245">
        <v>10</v>
      </c>
      <c r="H17" s="246">
        <v>43739</v>
      </c>
      <c r="I17" s="578">
        <v>7.0000000000000007E-2</v>
      </c>
      <c r="J17" s="152" t="s">
        <v>197</v>
      </c>
      <c r="K17" s="248">
        <f t="shared" si="0"/>
        <v>0.63</v>
      </c>
      <c r="L17" s="5"/>
      <c r="M17" s="5"/>
      <c r="N17" s="5"/>
      <c r="O17" s="5"/>
      <c r="P17" s="5"/>
      <c r="Q17" s="5"/>
    </row>
    <row r="18" spans="1:18" ht="13.8">
      <c r="A18" s="5"/>
      <c r="B18" s="5"/>
      <c r="C18" s="5"/>
      <c r="D18" s="5"/>
      <c r="E18" s="5"/>
      <c r="F18" s="5"/>
      <c r="G18" s="245">
        <v>11</v>
      </c>
      <c r="H18" s="246">
        <v>43770</v>
      </c>
      <c r="I18" s="578">
        <v>0.1</v>
      </c>
      <c r="J18" s="152" t="s">
        <v>197</v>
      </c>
      <c r="K18" s="248">
        <f t="shared" si="0"/>
        <v>0.63</v>
      </c>
      <c r="L18" s="5"/>
      <c r="M18" s="5"/>
      <c r="N18" s="5"/>
      <c r="O18" s="5"/>
      <c r="P18" s="5"/>
      <c r="Q18" s="5"/>
    </row>
    <row r="19" spans="1:18" ht="13.8">
      <c r="A19" s="5"/>
      <c r="B19" s="5"/>
      <c r="C19" s="5"/>
      <c r="D19" s="5"/>
      <c r="E19" s="5"/>
      <c r="F19" s="5"/>
      <c r="G19" s="245">
        <v>12</v>
      </c>
      <c r="H19" s="246">
        <v>43800</v>
      </c>
      <c r="I19" s="578">
        <v>0.06</v>
      </c>
      <c r="J19" s="152" t="s">
        <v>197</v>
      </c>
      <c r="K19" s="248">
        <f t="shared" si="0"/>
        <v>0.63</v>
      </c>
      <c r="L19" s="5"/>
      <c r="M19" s="5"/>
      <c r="N19" s="5"/>
      <c r="O19" s="5"/>
      <c r="P19" s="5"/>
      <c r="Q19" s="5"/>
    </row>
    <row r="20" spans="1:18" ht="13.8">
      <c r="A20" s="5"/>
      <c r="B20" s="5"/>
      <c r="C20" s="5"/>
      <c r="D20" s="5"/>
      <c r="E20" s="5"/>
      <c r="F20" s="5"/>
      <c r="G20" s="245">
        <v>13</v>
      </c>
      <c r="H20" s="246">
        <v>43831</v>
      </c>
      <c r="I20" s="578">
        <v>0.08</v>
      </c>
      <c r="J20" s="152" t="s">
        <v>197</v>
      </c>
      <c r="K20" s="248">
        <f t="shared" si="0"/>
        <v>0.63</v>
      </c>
      <c r="L20" s="5"/>
      <c r="M20" s="5"/>
      <c r="N20" s="5"/>
      <c r="O20" s="5"/>
      <c r="P20" s="5"/>
      <c r="Q20" s="5"/>
    </row>
    <row r="21" spans="1:18" ht="13.8">
      <c r="A21" s="5"/>
      <c r="B21" s="5"/>
      <c r="C21" s="5"/>
      <c r="D21" s="5"/>
      <c r="E21" s="5"/>
      <c r="F21" s="5"/>
      <c r="G21" s="245"/>
      <c r="H21" s="246"/>
      <c r="I21" s="247"/>
      <c r="J21" s="152"/>
      <c r="K21" s="248"/>
      <c r="L21" s="5"/>
      <c r="M21" s="5"/>
      <c r="N21" s="5"/>
      <c r="O21" s="5"/>
      <c r="P21" s="5"/>
      <c r="Q21" s="5"/>
    </row>
    <row r="22" spans="1:18" ht="13.8">
      <c r="A22" s="5"/>
      <c r="B22" s="5"/>
      <c r="C22" s="5"/>
      <c r="D22" s="5"/>
      <c r="E22" s="5"/>
      <c r="F22" s="5"/>
      <c r="G22" s="245"/>
      <c r="H22" s="246"/>
      <c r="I22" s="247"/>
      <c r="J22" s="152"/>
      <c r="K22" s="248"/>
      <c r="L22" s="5"/>
      <c r="M22" s="5"/>
      <c r="N22" s="5"/>
      <c r="O22" s="5"/>
      <c r="P22" s="5"/>
      <c r="Q22" s="5"/>
    </row>
    <row r="23" spans="1:18" ht="13.8">
      <c r="A23" s="5"/>
      <c r="B23" s="5"/>
      <c r="C23" s="5"/>
      <c r="D23" s="5"/>
      <c r="E23" s="5"/>
      <c r="F23" s="5"/>
      <c r="G23" s="245"/>
      <c r="H23" s="246"/>
      <c r="I23" s="247"/>
      <c r="J23" s="152"/>
      <c r="K23" s="248"/>
      <c r="L23" s="5"/>
      <c r="M23" s="5"/>
      <c r="N23" s="5"/>
      <c r="O23" s="5"/>
      <c r="P23" s="5"/>
      <c r="Q23" s="5"/>
    </row>
    <row r="24" spans="1:18" ht="13.8">
      <c r="A24" s="5"/>
      <c r="B24" s="5"/>
      <c r="C24" s="5"/>
      <c r="D24" s="5"/>
      <c r="E24" s="5"/>
      <c r="F24" s="5"/>
      <c r="G24" s="245"/>
      <c r="H24" s="246"/>
      <c r="I24" s="247"/>
      <c r="J24" s="152"/>
      <c r="K24" s="248"/>
      <c r="L24" s="5"/>
      <c r="M24" s="5"/>
      <c r="N24" s="5"/>
      <c r="O24" s="5"/>
      <c r="P24" s="5"/>
      <c r="Q24" s="5"/>
      <c r="R24" s="5"/>
    </row>
    <row r="25" spans="1:18" ht="13.8">
      <c r="A25" s="5"/>
      <c r="B25" s="5"/>
      <c r="C25" s="5"/>
      <c r="D25" s="5"/>
      <c r="E25" s="5"/>
      <c r="F25" s="5"/>
      <c r="G25" s="245"/>
      <c r="H25" s="246"/>
      <c r="I25" s="247"/>
      <c r="J25" s="152"/>
      <c r="K25" s="248"/>
      <c r="L25" s="5"/>
      <c r="M25" s="5"/>
      <c r="N25" s="5"/>
      <c r="O25" s="5"/>
      <c r="P25" s="5"/>
      <c r="Q25" s="5"/>
      <c r="R25" s="5"/>
    </row>
    <row r="26" spans="1:18" ht="13.8">
      <c r="A26" s="5"/>
      <c r="B26" s="5"/>
      <c r="C26" s="5"/>
      <c r="D26" s="5"/>
      <c r="E26" s="5"/>
      <c r="F26" s="5"/>
      <c r="G26" s="245"/>
      <c r="H26" s="246"/>
      <c r="I26" s="247"/>
      <c r="J26" s="152"/>
      <c r="K26" s="248"/>
      <c r="L26" s="5"/>
      <c r="M26" s="5"/>
      <c r="N26" s="5"/>
      <c r="O26" s="5"/>
      <c r="P26" s="5"/>
      <c r="Q26" s="5"/>
      <c r="R26" s="5"/>
    </row>
    <row r="27" spans="1:18" ht="13.8">
      <c r="A27" s="5"/>
      <c r="B27" s="5"/>
      <c r="C27" s="5"/>
      <c r="D27" s="5"/>
      <c r="E27" s="5"/>
      <c r="F27" s="5"/>
      <c r="G27" s="245"/>
      <c r="H27" s="246"/>
      <c r="I27" s="247"/>
      <c r="J27" s="152"/>
      <c r="K27" s="248"/>
      <c r="L27" s="5"/>
      <c r="M27" s="5"/>
      <c r="N27" s="5"/>
      <c r="O27" s="5"/>
      <c r="P27" s="5"/>
      <c r="Q27" s="5"/>
      <c r="R27" s="5"/>
    </row>
    <row r="28" spans="1:18" ht="13.8">
      <c r="A28" s="5"/>
      <c r="B28" s="5"/>
      <c r="C28" s="5"/>
      <c r="D28" s="5"/>
      <c r="E28" s="5"/>
      <c r="F28" s="5"/>
      <c r="G28" s="245"/>
      <c r="H28" s="246"/>
      <c r="I28" s="247"/>
      <c r="J28" s="152"/>
      <c r="K28" s="248"/>
      <c r="L28" s="5"/>
      <c r="M28" s="5"/>
      <c r="N28" s="5"/>
      <c r="O28" s="5"/>
      <c r="P28" s="5"/>
      <c r="Q28" s="5"/>
      <c r="R28" s="5"/>
    </row>
    <row r="29" spans="1:18" ht="13.8">
      <c r="G29" s="245"/>
      <c r="H29" s="246"/>
      <c r="I29" s="247"/>
      <c r="J29" s="152"/>
      <c r="K29" s="248"/>
    </row>
    <row r="30" spans="1:18" ht="13.8">
      <c r="G30" s="245"/>
      <c r="H30" s="246"/>
      <c r="I30" s="247"/>
      <c r="J30" s="152"/>
      <c r="K30" s="248"/>
    </row>
    <row r="31" spans="1:18" ht="13.8">
      <c r="G31" s="245"/>
      <c r="H31" s="246"/>
      <c r="I31" s="247"/>
      <c r="J31" s="152"/>
      <c r="K31" s="248"/>
    </row>
    <row r="33" spans="1:10" ht="14.4" thickBot="1">
      <c r="G33" s="249" t="s">
        <v>282</v>
      </c>
      <c r="H33" s="249"/>
      <c r="I33" s="250">
        <f>SUM(I8:I31)</f>
        <v>0.99999999999999989</v>
      </c>
    </row>
    <row r="34" spans="1:10" ht="13.8" thickTop="1"/>
    <row r="36" spans="1:10" ht="13.8">
      <c r="A36" s="240" t="s">
        <v>352</v>
      </c>
      <c r="B36" s="241"/>
      <c r="C36" s="240">
        <f>A37</f>
        <v>8</v>
      </c>
      <c r="D36" s="242" t="s">
        <v>353</v>
      </c>
      <c r="E36" s="242" t="s">
        <v>182</v>
      </c>
      <c r="F36" s="242" t="s">
        <v>195</v>
      </c>
      <c r="G36" s="242" t="s">
        <v>198</v>
      </c>
      <c r="H36" s="242" t="s">
        <v>199</v>
      </c>
      <c r="I36" s="243" t="s">
        <v>181</v>
      </c>
      <c r="J36" s="243" t="s">
        <v>183</v>
      </c>
    </row>
    <row r="37" spans="1:10" ht="13.8">
      <c r="A37" s="240">
        <f>SUM(A38:A61)</f>
        <v>8</v>
      </c>
      <c r="B37" s="240" t="s">
        <v>354</v>
      </c>
      <c r="C37" s="240" t="s">
        <v>276</v>
      </c>
      <c r="D37" s="240">
        <f t="shared" ref="D37:J37" si="1">SUM(D38:D61)</f>
        <v>7</v>
      </c>
      <c r="E37" s="240">
        <f t="shared" si="1"/>
        <v>0</v>
      </c>
      <c r="F37" s="240">
        <f t="shared" si="1"/>
        <v>1</v>
      </c>
      <c r="G37" s="240">
        <f t="shared" si="1"/>
        <v>0</v>
      </c>
      <c r="H37" s="240">
        <f t="shared" si="1"/>
        <v>0</v>
      </c>
      <c r="I37" s="225">
        <f t="shared" si="1"/>
        <v>1</v>
      </c>
      <c r="J37" s="225">
        <f t="shared" si="1"/>
        <v>7</v>
      </c>
    </row>
    <row r="38" spans="1:10" ht="13.8">
      <c r="A38" s="251">
        <f>SUM(D38:H38)</f>
        <v>3</v>
      </c>
      <c r="B38" s="245">
        <f t="shared" ref="B38:B51" si="2">G8</f>
        <v>1</v>
      </c>
      <c r="C38" s="246">
        <f t="shared" ref="C38:C51" si="3">H8</f>
        <v>43466</v>
      </c>
      <c r="D38" s="252">
        <v>2</v>
      </c>
      <c r="E38" s="252"/>
      <c r="F38" s="252">
        <v>1</v>
      </c>
      <c r="G38" s="252"/>
      <c r="H38" s="252"/>
      <c r="I38" s="252">
        <v>0</v>
      </c>
      <c r="J38" s="251">
        <f>A38-I38</f>
        <v>3</v>
      </c>
    </row>
    <row r="39" spans="1:10" ht="13.8">
      <c r="A39" s="251">
        <f t="shared" ref="A39:A61" si="4">SUM(D39:H39)</f>
        <v>1</v>
      </c>
      <c r="B39" s="245">
        <f t="shared" si="2"/>
        <v>2</v>
      </c>
      <c r="C39" s="246">
        <f t="shared" si="3"/>
        <v>43497</v>
      </c>
      <c r="D39" s="252">
        <v>1</v>
      </c>
      <c r="E39" s="252"/>
      <c r="F39" s="252"/>
      <c r="G39" s="252"/>
      <c r="H39" s="252"/>
      <c r="I39" s="252">
        <v>0</v>
      </c>
      <c r="J39" s="251">
        <f t="shared" ref="J39:J61" si="5">A39-I39</f>
        <v>1</v>
      </c>
    </row>
    <row r="40" spans="1:10" ht="13.8">
      <c r="A40" s="251">
        <f t="shared" si="4"/>
        <v>1</v>
      </c>
      <c r="B40" s="245">
        <f t="shared" si="2"/>
        <v>3</v>
      </c>
      <c r="C40" s="246">
        <f t="shared" si="3"/>
        <v>43525</v>
      </c>
      <c r="D40" s="252">
        <v>1</v>
      </c>
      <c r="E40" s="252"/>
      <c r="F40" s="252"/>
      <c r="G40" s="252"/>
      <c r="H40" s="252"/>
      <c r="I40" s="252">
        <v>0</v>
      </c>
      <c r="J40" s="251">
        <f t="shared" si="5"/>
        <v>1</v>
      </c>
    </row>
    <row r="41" spans="1:10" ht="13.8">
      <c r="A41" s="251">
        <f t="shared" si="4"/>
        <v>1</v>
      </c>
      <c r="B41" s="245">
        <f t="shared" si="2"/>
        <v>4</v>
      </c>
      <c r="C41" s="246">
        <f t="shared" si="3"/>
        <v>43556</v>
      </c>
      <c r="D41" s="252">
        <v>1</v>
      </c>
      <c r="E41" s="252"/>
      <c r="F41" s="252"/>
      <c r="G41" s="252"/>
      <c r="H41" s="252"/>
      <c r="I41" s="252">
        <v>1</v>
      </c>
      <c r="J41" s="251">
        <f t="shared" si="5"/>
        <v>0</v>
      </c>
    </row>
    <row r="42" spans="1:10" ht="13.8">
      <c r="A42" s="251">
        <f t="shared" si="4"/>
        <v>2</v>
      </c>
      <c r="B42" s="245">
        <f t="shared" si="2"/>
        <v>5</v>
      </c>
      <c r="C42" s="246">
        <f t="shared" si="3"/>
        <v>43586</v>
      </c>
      <c r="D42" s="252">
        <v>2</v>
      </c>
      <c r="E42" s="252"/>
      <c r="F42" s="252"/>
      <c r="G42" s="252"/>
      <c r="H42" s="252"/>
      <c r="I42" s="252">
        <v>0</v>
      </c>
      <c r="J42" s="251">
        <f t="shared" si="5"/>
        <v>2</v>
      </c>
    </row>
    <row r="43" spans="1:10" ht="13.8">
      <c r="A43" s="251">
        <f t="shared" si="4"/>
        <v>0</v>
      </c>
      <c r="B43" s="245">
        <f t="shared" si="2"/>
        <v>6</v>
      </c>
      <c r="C43" s="246">
        <f t="shared" si="3"/>
        <v>43617</v>
      </c>
      <c r="D43" s="252"/>
      <c r="E43" s="252"/>
      <c r="F43" s="252"/>
      <c r="G43" s="252"/>
      <c r="H43" s="252"/>
      <c r="I43" s="252"/>
      <c r="J43" s="251">
        <f t="shared" si="5"/>
        <v>0</v>
      </c>
    </row>
    <row r="44" spans="1:10" ht="13.8">
      <c r="A44" s="251">
        <f t="shared" si="4"/>
        <v>0</v>
      </c>
      <c r="B44" s="245">
        <f t="shared" si="2"/>
        <v>7</v>
      </c>
      <c r="C44" s="246">
        <f t="shared" si="3"/>
        <v>43647</v>
      </c>
      <c r="D44" s="252"/>
      <c r="E44" s="252"/>
      <c r="F44" s="252"/>
      <c r="G44" s="252"/>
      <c r="H44" s="252"/>
      <c r="I44" s="252"/>
      <c r="J44" s="251">
        <f t="shared" si="5"/>
        <v>0</v>
      </c>
    </row>
    <row r="45" spans="1:10" ht="13.8">
      <c r="A45" s="251">
        <f t="shared" si="4"/>
        <v>0</v>
      </c>
      <c r="B45" s="245">
        <f t="shared" si="2"/>
        <v>8</v>
      </c>
      <c r="C45" s="246">
        <f t="shared" si="3"/>
        <v>43678</v>
      </c>
      <c r="D45" s="252"/>
      <c r="E45" s="252"/>
      <c r="F45" s="252"/>
      <c r="G45" s="252"/>
      <c r="H45" s="252"/>
      <c r="I45" s="252"/>
      <c r="J45" s="251">
        <f t="shared" si="5"/>
        <v>0</v>
      </c>
    </row>
    <row r="46" spans="1:10" ht="13.8">
      <c r="A46" s="251">
        <f t="shared" si="4"/>
        <v>0</v>
      </c>
      <c r="B46" s="245">
        <f t="shared" si="2"/>
        <v>9</v>
      </c>
      <c r="C46" s="246">
        <f t="shared" si="3"/>
        <v>43709</v>
      </c>
      <c r="D46" s="252"/>
      <c r="E46" s="252"/>
      <c r="F46" s="252"/>
      <c r="G46" s="252"/>
      <c r="H46" s="252"/>
      <c r="I46" s="252"/>
      <c r="J46" s="251">
        <f t="shared" si="5"/>
        <v>0</v>
      </c>
    </row>
    <row r="47" spans="1:10" ht="13.8">
      <c r="A47" s="251">
        <f t="shared" si="4"/>
        <v>0</v>
      </c>
      <c r="B47" s="245">
        <f t="shared" si="2"/>
        <v>10</v>
      </c>
      <c r="C47" s="246">
        <f t="shared" si="3"/>
        <v>43739</v>
      </c>
      <c r="D47" s="252"/>
      <c r="E47" s="252"/>
      <c r="F47" s="252"/>
      <c r="G47" s="252"/>
      <c r="H47" s="252"/>
      <c r="I47" s="252"/>
      <c r="J47" s="251">
        <f t="shared" si="5"/>
        <v>0</v>
      </c>
    </row>
    <row r="48" spans="1:10" ht="13.8">
      <c r="A48" s="251">
        <f t="shared" si="4"/>
        <v>0</v>
      </c>
      <c r="B48" s="245">
        <f t="shared" si="2"/>
        <v>11</v>
      </c>
      <c r="C48" s="246">
        <f t="shared" si="3"/>
        <v>43770</v>
      </c>
      <c r="D48" s="252"/>
      <c r="E48" s="252"/>
      <c r="F48" s="252"/>
      <c r="G48" s="252"/>
      <c r="H48" s="252"/>
      <c r="I48" s="252"/>
      <c r="J48" s="251">
        <f t="shared" si="5"/>
        <v>0</v>
      </c>
    </row>
    <row r="49" spans="1:10" ht="13.8">
      <c r="A49" s="251">
        <f t="shared" si="4"/>
        <v>0</v>
      </c>
      <c r="B49" s="245">
        <f t="shared" si="2"/>
        <v>12</v>
      </c>
      <c r="C49" s="246">
        <f t="shared" si="3"/>
        <v>43800</v>
      </c>
      <c r="D49" s="252"/>
      <c r="E49" s="252"/>
      <c r="F49" s="252"/>
      <c r="G49" s="252"/>
      <c r="H49" s="252"/>
      <c r="I49" s="252"/>
      <c r="J49" s="251">
        <f t="shared" si="5"/>
        <v>0</v>
      </c>
    </row>
    <row r="50" spans="1:10" ht="13.8">
      <c r="A50" s="251">
        <f t="shared" si="4"/>
        <v>0</v>
      </c>
      <c r="B50" s="245">
        <f t="shared" si="2"/>
        <v>13</v>
      </c>
      <c r="C50" s="246">
        <f t="shared" si="3"/>
        <v>43831</v>
      </c>
      <c r="D50" s="252"/>
      <c r="E50" s="252"/>
      <c r="F50" s="252"/>
      <c r="G50" s="252"/>
      <c r="H50" s="252"/>
      <c r="I50" s="252"/>
      <c r="J50" s="251">
        <f t="shared" si="5"/>
        <v>0</v>
      </c>
    </row>
    <row r="51" spans="1:10" ht="13.8">
      <c r="A51" s="251">
        <f t="shared" si="4"/>
        <v>0</v>
      </c>
      <c r="B51" s="245">
        <f t="shared" si="2"/>
        <v>0</v>
      </c>
      <c r="C51" s="246">
        <f t="shared" si="3"/>
        <v>0</v>
      </c>
      <c r="D51" s="252"/>
      <c r="E51" s="252"/>
      <c r="F51" s="252"/>
      <c r="G51" s="252"/>
      <c r="H51" s="252"/>
      <c r="I51" s="252"/>
      <c r="J51" s="251">
        <f t="shared" si="5"/>
        <v>0</v>
      </c>
    </row>
    <row r="52" spans="1:10" ht="13.8">
      <c r="A52" s="251">
        <f t="shared" si="4"/>
        <v>0</v>
      </c>
      <c r="B52" s="245">
        <f t="shared" ref="B52:B61" si="6">G22</f>
        <v>0</v>
      </c>
      <c r="C52" s="253"/>
      <c r="D52" s="252"/>
      <c r="E52" s="252"/>
      <c r="F52" s="252"/>
      <c r="G52" s="252"/>
      <c r="H52" s="252"/>
      <c r="I52" s="252"/>
      <c r="J52" s="251">
        <f t="shared" si="5"/>
        <v>0</v>
      </c>
    </row>
    <row r="53" spans="1:10" ht="13.8">
      <c r="A53" s="251">
        <f t="shared" si="4"/>
        <v>0</v>
      </c>
      <c r="B53" s="245">
        <f t="shared" si="6"/>
        <v>0</v>
      </c>
      <c r="C53" s="253"/>
      <c r="D53" s="252"/>
      <c r="E53" s="252"/>
      <c r="F53" s="252"/>
      <c r="G53" s="252"/>
      <c r="H53" s="252"/>
      <c r="I53" s="252"/>
      <c r="J53" s="251">
        <f t="shared" si="5"/>
        <v>0</v>
      </c>
    </row>
    <row r="54" spans="1:10" ht="13.8">
      <c r="A54" s="251">
        <f t="shared" si="4"/>
        <v>0</v>
      </c>
      <c r="B54" s="245">
        <f t="shared" si="6"/>
        <v>0</v>
      </c>
      <c r="C54" s="253"/>
      <c r="D54" s="252"/>
      <c r="E54" s="252"/>
      <c r="F54" s="252"/>
      <c r="G54" s="252"/>
      <c r="H54" s="252"/>
      <c r="I54" s="252"/>
      <c r="J54" s="251">
        <f t="shared" si="5"/>
        <v>0</v>
      </c>
    </row>
    <row r="55" spans="1:10" ht="13.8">
      <c r="A55" s="251">
        <f t="shared" si="4"/>
        <v>0</v>
      </c>
      <c r="B55" s="245">
        <f t="shared" si="6"/>
        <v>0</v>
      </c>
      <c r="C55" s="253"/>
      <c r="D55" s="252"/>
      <c r="E55" s="252"/>
      <c r="F55" s="252"/>
      <c r="G55" s="252"/>
      <c r="H55" s="252"/>
      <c r="I55" s="252"/>
      <c r="J55" s="251">
        <f t="shared" si="5"/>
        <v>0</v>
      </c>
    </row>
    <row r="56" spans="1:10" ht="13.8">
      <c r="A56" s="251">
        <f t="shared" si="4"/>
        <v>0</v>
      </c>
      <c r="B56" s="245">
        <f t="shared" si="6"/>
        <v>0</v>
      </c>
      <c r="C56" s="253"/>
      <c r="D56" s="252"/>
      <c r="E56" s="252"/>
      <c r="F56" s="252"/>
      <c r="G56" s="252"/>
      <c r="H56" s="252"/>
      <c r="I56" s="252"/>
      <c r="J56" s="251">
        <f t="shared" si="5"/>
        <v>0</v>
      </c>
    </row>
    <row r="57" spans="1:10" ht="13.8">
      <c r="A57" s="251">
        <f t="shared" si="4"/>
        <v>0</v>
      </c>
      <c r="B57" s="245">
        <f t="shared" si="6"/>
        <v>0</v>
      </c>
      <c r="C57" s="253"/>
      <c r="D57" s="252"/>
      <c r="E57" s="252"/>
      <c r="F57" s="252"/>
      <c r="G57" s="252"/>
      <c r="H57" s="252"/>
      <c r="I57" s="252"/>
      <c r="J57" s="251">
        <f t="shared" si="5"/>
        <v>0</v>
      </c>
    </row>
    <row r="58" spans="1:10" ht="13.8">
      <c r="A58" s="251">
        <f t="shared" si="4"/>
        <v>0</v>
      </c>
      <c r="B58" s="245">
        <f t="shared" si="6"/>
        <v>0</v>
      </c>
      <c r="C58" s="253"/>
      <c r="D58" s="252"/>
      <c r="E58" s="252"/>
      <c r="F58" s="252"/>
      <c r="G58" s="252"/>
      <c r="H58" s="252"/>
      <c r="I58" s="252"/>
      <c r="J58" s="251">
        <f t="shared" si="5"/>
        <v>0</v>
      </c>
    </row>
    <row r="59" spans="1:10" ht="13.8">
      <c r="A59" s="251">
        <f t="shared" si="4"/>
        <v>0</v>
      </c>
      <c r="B59" s="245">
        <f t="shared" si="6"/>
        <v>0</v>
      </c>
      <c r="C59" s="253"/>
      <c r="D59" s="252"/>
      <c r="E59" s="252"/>
      <c r="F59" s="252"/>
      <c r="G59" s="252"/>
      <c r="H59" s="252"/>
      <c r="I59" s="252"/>
      <c r="J59" s="251">
        <f t="shared" si="5"/>
        <v>0</v>
      </c>
    </row>
    <row r="60" spans="1:10" ht="13.8">
      <c r="A60" s="251">
        <f t="shared" si="4"/>
        <v>0</v>
      </c>
      <c r="B60" s="245">
        <f t="shared" si="6"/>
        <v>0</v>
      </c>
      <c r="C60" s="253"/>
      <c r="D60" s="252"/>
      <c r="E60" s="252"/>
      <c r="F60" s="252"/>
      <c r="G60" s="252"/>
      <c r="H60" s="252"/>
      <c r="I60" s="252"/>
      <c r="J60" s="251">
        <f t="shared" si="5"/>
        <v>0</v>
      </c>
    </row>
    <row r="61" spans="1:10" ht="13.8">
      <c r="A61" s="251">
        <f t="shared" si="4"/>
        <v>0</v>
      </c>
      <c r="B61" s="245">
        <f t="shared" si="6"/>
        <v>0</v>
      </c>
      <c r="C61" s="253"/>
      <c r="D61" s="252"/>
      <c r="E61" s="252"/>
      <c r="F61" s="252"/>
      <c r="G61" s="252"/>
      <c r="H61" s="252"/>
      <c r="I61" s="252"/>
      <c r="J61" s="251">
        <f t="shared" si="5"/>
        <v>0</v>
      </c>
    </row>
    <row r="64" spans="1:10" ht="13.8">
      <c r="C64" s="254"/>
      <c r="D64" s="5" t="s">
        <v>361</v>
      </c>
    </row>
  </sheetData>
  <phoneticPr fontId="104"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
    <pageSetUpPr fitToPage="1"/>
  </sheetPr>
  <dimension ref="A1:R107"/>
  <sheetViews>
    <sheetView topLeftCell="A4" workbookViewId="0">
      <pane xSplit="2" ySplit="8" topLeftCell="C72" activePane="bottomRight" state="frozen"/>
      <selection activeCell="A4" sqref="A4"/>
      <selection pane="topRight" activeCell="C4" sqref="C4"/>
      <selection pane="bottomLeft" activeCell="A12" sqref="A12"/>
      <selection pane="bottomRight" activeCell="Q83" sqref="Q83"/>
    </sheetView>
  </sheetViews>
  <sheetFormatPr defaultColWidth="9.109375" defaultRowHeight="13.8"/>
  <cols>
    <col min="1" max="1" width="11.88671875" style="3" customWidth="1"/>
    <col min="2" max="2" width="13.5546875" style="3" bestFit="1" customWidth="1"/>
    <col min="3" max="4" width="10.77734375" style="3" customWidth="1"/>
    <col min="5" max="5" width="10.77734375" style="4" customWidth="1"/>
    <col min="6" max="6" width="10.77734375" customWidth="1"/>
    <col min="7" max="16" width="10.77734375" style="4" customWidth="1"/>
    <col min="17" max="18" width="10.6640625" style="4" bestFit="1" customWidth="1"/>
    <col min="19" max="16384" width="9.109375" style="4"/>
  </cols>
  <sheetData>
    <row r="1" spans="1:17" s="3" customFormat="1" ht="20.399999999999999">
      <c r="A1" s="104" t="s">
        <v>6</v>
      </c>
      <c r="B1" s="104"/>
      <c r="C1" s="104"/>
      <c r="D1" s="104"/>
      <c r="E1" s="104"/>
      <c r="K1" s="8"/>
      <c r="L1" s="8"/>
      <c r="M1" s="8"/>
    </row>
    <row r="2" spans="1:17">
      <c r="E2" s="9"/>
      <c r="F2" s="4"/>
      <c r="K2" s="9"/>
      <c r="L2" s="9"/>
      <c r="M2" s="9"/>
      <c r="N2" s="9"/>
      <c r="O2" s="9"/>
      <c r="P2" s="9"/>
    </row>
    <row r="3" spans="1:17" ht="30">
      <c r="A3" s="106" t="s">
        <v>66</v>
      </c>
      <c r="B3" s="106"/>
      <c r="C3" s="106"/>
      <c r="D3" s="106"/>
      <c r="E3" s="106"/>
      <c r="F3" s="3"/>
      <c r="G3" s="3"/>
      <c r="H3" s="3"/>
      <c r="I3" s="3"/>
      <c r="J3" s="3"/>
      <c r="K3" s="3"/>
      <c r="L3" s="3"/>
      <c r="M3" s="3"/>
      <c r="N3" s="3"/>
      <c r="O3" s="3"/>
      <c r="P3" s="3"/>
    </row>
    <row r="4" spans="1:17" ht="15.6">
      <c r="A4" s="83"/>
      <c r="B4" s="82"/>
      <c r="C4" s="82"/>
      <c r="D4" s="82"/>
      <c r="E4" s="3"/>
      <c r="F4" s="3"/>
      <c r="G4" s="3"/>
      <c r="H4" s="3"/>
      <c r="I4" s="3"/>
      <c r="J4" s="3"/>
      <c r="K4" s="3"/>
      <c r="L4" s="3"/>
      <c r="M4" s="3"/>
      <c r="N4" s="3"/>
      <c r="O4" s="3"/>
      <c r="P4" s="3"/>
    </row>
    <row r="5" spans="1:17">
      <c r="A5" s="107" t="s">
        <v>33</v>
      </c>
      <c r="B5" s="108" t="s">
        <v>7</v>
      </c>
      <c r="C5" s="107" t="s">
        <v>34</v>
      </c>
      <c r="D5" s="107" t="s">
        <v>35</v>
      </c>
      <c r="E5" s="107" t="s">
        <v>36</v>
      </c>
      <c r="F5" s="107" t="s">
        <v>37</v>
      </c>
      <c r="G5" s="107" t="s">
        <v>38</v>
      </c>
      <c r="H5" s="107" t="s">
        <v>39</v>
      </c>
      <c r="I5" s="107" t="s">
        <v>40</v>
      </c>
      <c r="J5" s="107" t="s">
        <v>41</v>
      </c>
      <c r="K5" s="107" t="s">
        <v>42</v>
      </c>
      <c r="L5" s="107" t="s">
        <v>43</v>
      </c>
      <c r="M5" s="107" t="s">
        <v>44</v>
      </c>
      <c r="N5" s="107" t="s">
        <v>45</v>
      </c>
      <c r="O5" s="107" t="s">
        <v>46</v>
      </c>
      <c r="P5" s="107" t="s">
        <v>47</v>
      </c>
      <c r="Q5" s="52"/>
    </row>
    <row r="6" spans="1:17">
      <c r="A6" s="63" t="s">
        <v>86</v>
      </c>
      <c r="B6" s="207" t="s">
        <v>79</v>
      </c>
      <c r="C6" s="292">
        <v>91999901</v>
      </c>
      <c r="D6" s="291">
        <v>91999902</v>
      </c>
      <c r="E6" s="291">
        <v>91999903</v>
      </c>
      <c r="F6" s="292">
        <v>91999904</v>
      </c>
      <c r="G6" s="291">
        <v>91999905</v>
      </c>
      <c r="H6" s="293">
        <v>91999906</v>
      </c>
      <c r="I6" s="291">
        <v>91999907</v>
      </c>
      <c r="J6" s="291">
        <v>91999908</v>
      </c>
      <c r="K6" s="472">
        <v>91999909</v>
      </c>
      <c r="L6" s="291">
        <v>91999910</v>
      </c>
      <c r="M6" s="291">
        <v>91999911</v>
      </c>
      <c r="N6" s="292">
        <v>91999912</v>
      </c>
      <c r="O6" s="292">
        <v>91999913</v>
      </c>
      <c r="P6" s="293">
        <v>91999914</v>
      </c>
      <c r="Q6" s="191"/>
    </row>
    <row r="7" spans="1:17">
      <c r="A7" s="63" t="s">
        <v>86</v>
      </c>
      <c r="B7" s="53" t="s">
        <v>69</v>
      </c>
      <c r="C7" s="294">
        <v>43466</v>
      </c>
      <c r="D7" s="294">
        <v>43466</v>
      </c>
      <c r="E7" s="295">
        <v>43473</v>
      </c>
      <c r="F7" s="296">
        <v>43466</v>
      </c>
      <c r="G7" s="297">
        <v>43466</v>
      </c>
      <c r="H7" s="297">
        <v>43466</v>
      </c>
      <c r="I7" s="297">
        <v>43466</v>
      </c>
      <c r="J7" s="297">
        <v>43483</v>
      </c>
      <c r="K7" s="297">
        <v>43494</v>
      </c>
      <c r="L7" s="297">
        <v>43466</v>
      </c>
      <c r="M7" s="297">
        <v>43466</v>
      </c>
      <c r="N7" s="297">
        <v>43466</v>
      </c>
      <c r="O7" s="297">
        <v>43466</v>
      </c>
      <c r="P7" s="297">
        <v>43466</v>
      </c>
      <c r="Q7" s="297"/>
    </row>
    <row r="8" spans="1:17">
      <c r="A8" s="63" t="s">
        <v>83</v>
      </c>
      <c r="B8" s="53" t="s">
        <v>48</v>
      </c>
      <c r="C8" s="290" t="s">
        <v>428</v>
      </c>
      <c r="D8" s="290" t="s">
        <v>428</v>
      </c>
      <c r="E8" s="298" t="s">
        <v>428</v>
      </c>
      <c r="F8" s="299" t="s">
        <v>428</v>
      </c>
      <c r="G8" s="298" t="s">
        <v>428</v>
      </c>
      <c r="H8" s="298" t="s">
        <v>428</v>
      </c>
      <c r="I8" s="298" t="s">
        <v>428</v>
      </c>
      <c r="J8" s="298" t="s">
        <v>428</v>
      </c>
      <c r="K8" s="298" t="s">
        <v>428</v>
      </c>
      <c r="L8" s="298" t="s">
        <v>428</v>
      </c>
      <c r="M8" s="298" t="s">
        <v>428</v>
      </c>
      <c r="N8" s="298" t="s">
        <v>428</v>
      </c>
      <c r="O8" s="298" t="s">
        <v>428</v>
      </c>
      <c r="P8" s="298" t="s">
        <v>428</v>
      </c>
      <c r="Q8" s="52"/>
    </row>
    <row r="9" spans="1:17">
      <c r="A9" s="63" t="s">
        <v>83</v>
      </c>
      <c r="B9" s="54" t="s">
        <v>8</v>
      </c>
      <c r="C9" s="290" t="s">
        <v>408</v>
      </c>
      <c r="D9" s="290" t="s">
        <v>408</v>
      </c>
      <c r="E9" s="290" t="s">
        <v>408</v>
      </c>
      <c r="F9" s="290" t="s">
        <v>408</v>
      </c>
      <c r="G9" s="290" t="s">
        <v>408</v>
      </c>
      <c r="H9" s="290" t="s">
        <v>408</v>
      </c>
      <c r="I9" s="290" t="s">
        <v>408</v>
      </c>
      <c r="J9" s="290" t="s">
        <v>408</v>
      </c>
      <c r="K9" s="290" t="s">
        <v>408</v>
      </c>
      <c r="L9" s="290" t="s">
        <v>408</v>
      </c>
      <c r="M9" s="290" t="s">
        <v>408</v>
      </c>
      <c r="N9" s="290" t="s">
        <v>408</v>
      </c>
      <c r="O9" s="290" t="s">
        <v>408</v>
      </c>
      <c r="P9" s="290" t="s">
        <v>408</v>
      </c>
      <c r="Q9" s="52"/>
    </row>
    <row r="10" spans="1:17">
      <c r="A10" s="63" t="s">
        <v>83</v>
      </c>
      <c r="B10" s="55" t="s">
        <v>3</v>
      </c>
      <c r="C10" s="307" t="s">
        <v>1168</v>
      </c>
      <c r="D10" s="290" t="s">
        <v>633</v>
      </c>
      <c r="E10" s="300" t="s">
        <v>412</v>
      </c>
      <c r="F10" s="301" t="s">
        <v>412</v>
      </c>
      <c r="G10" s="289">
        <v>4</v>
      </c>
      <c r="H10" s="289" t="s">
        <v>416</v>
      </c>
      <c r="I10" s="289" t="s">
        <v>417</v>
      </c>
      <c r="J10" s="289" t="s">
        <v>418</v>
      </c>
      <c r="K10" s="289" t="s">
        <v>620</v>
      </c>
      <c r="L10" s="620" t="s">
        <v>1169</v>
      </c>
      <c r="M10" s="620" t="s">
        <v>1168</v>
      </c>
      <c r="N10" s="289">
        <v>3</v>
      </c>
      <c r="O10" s="289">
        <v>3</v>
      </c>
      <c r="P10" s="289" t="s">
        <v>416</v>
      </c>
      <c r="Q10" s="52"/>
    </row>
    <row r="11" spans="1:17">
      <c r="A11" s="63" t="s">
        <v>83</v>
      </c>
      <c r="B11" s="55" t="s">
        <v>9</v>
      </c>
      <c r="C11" s="290" t="s">
        <v>415</v>
      </c>
      <c r="D11" s="290" t="s">
        <v>409</v>
      </c>
      <c r="E11" s="300" t="s">
        <v>413</v>
      </c>
      <c r="F11" s="301" t="s">
        <v>414</v>
      </c>
      <c r="G11" s="289" t="s">
        <v>415</v>
      </c>
      <c r="H11" s="289" t="s">
        <v>409</v>
      </c>
      <c r="I11" s="289" t="s">
        <v>409</v>
      </c>
      <c r="J11" s="289" t="s">
        <v>419</v>
      </c>
      <c r="K11" s="289" t="s">
        <v>410</v>
      </c>
      <c r="L11" s="289" t="s">
        <v>409</v>
      </c>
      <c r="M11" s="301" t="s">
        <v>414</v>
      </c>
      <c r="N11" s="301" t="s">
        <v>410</v>
      </c>
      <c r="O11" s="301" t="s">
        <v>410</v>
      </c>
      <c r="P11" s="301" t="s">
        <v>414</v>
      </c>
      <c r="Q11" s="52"/>
    </row>
    <row r="12" spans="1:17">
      <c r="A12" s="63" t="s">
        <v>83</v>
      </c>
      <c r="B12" s="54" t="s">
        <v>10</v>
      </c>
      <c r="C12" s="10" t="s">
        <v>634</v>
      </c>
      <c r="D12" s="302" t="s">
        <v>445</v>
      </c>
      <c r="E12" s="212" t="s">
        <v>446</v>
      </c>
      <c r="F12" s="213" t="s">
        <v>449</v>
      </c>
      <c r="G12" s="303" t="s">
        <v>446</v>
      </c>
      <c r="H12" s="303" t="s">
        <v>446</v>
      </c>
      <c r="I12" s="303" t="s">
        <v>446</v>
      </c>
      <c r="J12" s="303" t="s">
        <v>447</v>
      </c>
      <c r="K12" s="303" t="s">
        <v>448</v>
      </c>
      <c r="L12" s="303" t="s">
        <v>449</v>
      </c>
      <c r="M12" s="303" t="s">
        <v>448</v>
      </c>
      <c r="N12" s="303" t="s">
        <v>448</v>
      </c>
      <c r="O12" s="303" t="s">
        <v>448</v>
      </c>
      <c r="P12" s="303" t="s">
        <v>448</v>
      </c>
      <c r="Q12" s="52"/>
    </row>
    <row r="13" spans="1:17">
      <c r="A13" s="63" t="s">
        <v>83</v>
      </c>
      <c r="B13" s="54" t="s">
        <v>11</v>
      </c>
      <c r="C13" s="212" t="s">
        <v>450</v>
      </c>
      <c r="D13" s="212" t="s">
        <v>450</v>
      </c>
      <c r="E13" s="212" t="s">
        <v>450</v>
      </c>
      <c r="F13" s="212" t="s">
        <v>450</v>
      </c>
      <c r="G13" s="212" t="s">
        <v>450</v>
      </c>
      <c r="H13" s="212" t="s">
        <v>450</v>
      </c>
      <c r="I13" s="212" t="s">
        <v>450</v>
      </c>
      <c r="J13" s="212" t="s">
        <v>450</v>
      </c>
      <c r="K13" s="212" t="s">
        <v>450</v>
      </c>
      <c r="L13" s="212" t="s">
        <v>450</v>
      </c>
      <c r="M13" s="212" t="s">
        <v>450</v>
      </c>
      <c r="N13" s="212" t="s">
        <v>450</v>
      </c>
      <c r="O13" s="212" t="s">
        <v>450</v>
      </c>
      <c r="P13" s="212" t="s">
        <v>450</v>
      </c>
      <c r="Q13" s="52"/>
    </row>
    <row r="14" spans="1:17">
      <c r="A14" s="63" t="s">
        <v>83</v>
      </c>
      <c r="B14" s="55" t="s">
        <v>12</v>
      </c>
      <c r="C14" s="63"/>
      <c r="D14" s="63"/>
      <c r="E14" s="70"/>
      <c r="F14" s="71"/>
      <c r="G14" s="67"/>
      <c r="H14" s="67"/>
      <c r="I14" s="67"/>
      <c r="J14" s="67"/>
      <c r="K14" s="67"/>
      <c r="L14" s="67"/>
      <c r="M14" s="67"/>
      <c r="N14" s="67"/>
      <c r="O14" s="67"/>
      <c r="P14" s="67"/>
      <c r="Q14" s="52"/>
    </row>
    <row r="15" spans="1:17">
      <c r="A15" s="63" t="s">
        <v>84</v>
      </c>
      <c r="B15" s="55" t="s">
        <v>13</v>
      </c>
      <c r="C15" s="63"/>
      <c r="D15" s="63"/>
      <c r="E15" s="70"/>
      <c r="F15" s="71"/>
      <c r="G15" s="67"/>
      <c r="H15" s="67"/>
      <c r="I15" s="67" t="s">
        <v>430</v>
      </c>
      <c r="J15" s="67"/>
      <c r="K15" s="67"/>
      <c r="L15" s="67"/>
      <c r="M15" s="67"/>
      <c r="N15" s="67"/>
      <c r="O15" s="67"/>
      <c r="P15" s="67"/>
      <c r="Q15" s="52"/>
    </row>
    <row r="16" spans="1:17">
      <c r="A16" s="63" t="s">
        <v>84</v>
      </c>
      <c r="B16" s="55" t="s">
        <v>14</v>
      </c>
      <c r="C16" s="214" t="s">
        <v>300</v>
      </c>
      <c r="D16" s="214" t="s">
        <v>301</v>
      </c>
      <c r="E16" s="212" t="s">
        <v>302</v>
      </c>
      <c r="F16" s="213" t="s">
        <v>303</v>
      </c>
      <c r="G16" s="215" t="s">
        <v>304</v>
      </c>
      <c r="H16" s="215" t="s">
        <v>305</v>
      </c>
      <c r="I16" s="215" t="s">
        <v>306</v>
      </c>
      <c r="J16" s="215" t="s">
        <v>307</v>
      </c>
      <c r="K16" s="215" t="s">
        <v>308</v>
      </c>
      <c r="L16" s="215" t="s">
        <v>309</v>
      </c>
      <c r="M16" s="215" t="s">
        <v>310</v>
      </c>
      <c r="N16" s="215" t="s">
        <v>311</v>
      </c>
      <c r="O16" s="215" t="s">
        <v>312</v>
      </c>
      <c r="P16" s="215" t="s">
        <v>313</v>
      </c>
      <c r="Q16" s="52"/>
    </row>
    <row r="17" spans="1:17">
      <c r="A17" s="63" t="s">
        <v>84</v>
      </c>
      <c r="B17" s="55" t="s">
        <v>15</v>
      </c>
      <c r="C17" s="214" t="s">
        <v>314</v>
      </c>
      <c r="D17" s="214" t="s">
        <v>315</v>
      </c>
      <c r="E17" s="212" t="s">
        <v>316</v>
      </c>
      <c r="F17" s="213" t="s">
        <v>317</v>
      </c>
      <c r="G17" s="215" t="s">
        <v>318</v>
      </c>
      <c r="H17" s="215" t="s">
        <v>319</v>
      </c>
      <c r="I17" s="215" t="s">
        <v>320</v>
      </c>
      <c r="J17" s="215" t="s">
        <v>321</v>
      </c>
      <c r="K17" s="215" t="s">
        <v>322</v>
      </c>
      <c r="L17" s="215" t="s">
        <v>323</v>
      </c>
      <c r="M17" s="215" t="s">
        <v>324</v>
      </c>
      <c r="N17" s="215" t="s">
        <v>325</v>
      </c>
      <c r="O17" s="215" t="s">
        <v>326</v>
      </c>
      <c r="P17" s="215" t="s">
        <v>327</v>
      </c>
      <c r="Q17" s="52"/>
    </row>
    <row r="18" spans="1:17">
      <c r="A18" s="63" t="s">
        <v>84</v>
      </c>
      <c r="B18" s="53" t="s">
        <v>87</v>
      </c>
      <c r="C18" s="209"/>
      <c r="D18" s="209"/>
      <c r="E18" s="211"/>
      <c r="F18" s="211"/>
      <c r="G18" s="211"/>
      <c r="H18" s="211"/>
      <c r="I18" s="210"/>
      <c r="J18" s="210"/>
      <c r="K18" s="210"/>
      <c r="L18" s="210"/>
      <c r="M18" s="210"/>
      <c r="N18" s="210"/>
      <c r="O18" s="210"/>
      <c r="P18" s="210"/>
      <c r="Q18" s="52"/>
    </row>
    <row r="19" spans="1:17">
      <c r="A19" s="63" t="s">
        <v>84</v>
      </c>
      <c r="B19" s="53" t="s">
        <v>88</v>
      </c>
      <c r="C19" s="63"/>
      <c r="D19" s="63"/>
      <c r="E19" s="68"/>
      <c r="F19" s="69"/>
      <c r="G19" s="67"/>
      <c r="H19" s="67"/>
      <c r="I19" s="67"/>
      <c r="J19" s="67"/>
      <c r="K19" s="67"/>
      <c r="L19" s="67"/>
      <c r="M19" s="67"/>
      <c r="N19" s="67"/>
      <c r="O19" s="67"/>
      <c r="P19" s="67"/>
      <c r="Q19" s="52"/>
    </row>
    <row r="20" spans="1:17">
      <c r="A20" s="63" t="s">
        <v>84</v>
      </c>
      <c r="B20" s="55" t="s">
        <v>16</v>
      </c>
      <c r="C20" s="63"/>
      <c r="D20" s="63"/>
      <c r="E20" s="70"/>
      <c r="F20" s="71"/>
      <c r="G20" s="67"/>
      <c r="H20" s="67"/>
      <c r="I20" s="67"/>
      <c r="J20" s="67"/>
      <c r="K20" s="67"/>
      <c r="L20" s="67"/>
      <c r="M20" s="67"/>
      <c r="N20" s="67"/>
      <c r="O20" s="67"/>
      <c r="P20" s="67"/>
      <c r="Q20" s="52"/>
    </row>
    <row r="21" spans="1:17">
      <c r="A21" s="10" t="s">
        <v>81</v>
      </c>
      <c r="B21" s="55" t="s">
        <v>82</v>
      </c>
      <c r="C21" s="63"/>
      <c r="D21" s="63"/>
      <c r="E21" s="70"/>
      <c r="F21" s="71"/>
      <c r="G21" s="67"/>
      <c r="H21" s="67"/>
      <c r="I21" s="67"/>
      <c r="J21" s="67"/>
      <c r="K21" s="67"/>
      <c r="L21" s="67"/>
      <c r="M21" s="67"/>
      <c r="N21" s="67"/>
      <c r="O21" s="67"/>
      <c r="P21" s="67"/>
      <c r="Q21" s="52"/>
    </row>
    <row r="22" spans="1:17">
      <c r="A22" s="307" t="s">
        <v>81</v>
      </c>
      <c r="B22" s="308" t="s">
        <v>80</v>
      </c>
      <c r="C22" s="63"/>
      <c r="D22" s="63"/>
      <c r="E22" s="70"/>
      <c r="F22" s="71"/>
      <c r="G22" s="67"/>
      <c r="H22" s="67"/>
      <c r="I22" s="67"/>
      <c r="J22" s="67"/>
      <c r="K22" s="67"/>
      <c r="L22" s="67"/>
      <c r="M22" s="67"/>
      <c r="N22" s="67"/>
      <c r="O22" s="67"/>
      <c r="P22" s="67"/>
      <c r="Q22" s="52"/>
    </row>
    <row r="23" spans="1:17">
      <c r="A23" s="307" t="s">
        <v>49</v>
      </c>
      <c r="B23" s="309" t="s">
        <v>17</v>
      </c>
      <c r="C23" s="288" t="s">
        <v>429</v>
      </c>
      <c r="D23" s="288" t="s">
        <v>1195</v>
      </c>
      <c r="E23" s="288" t="s">
        <v>429</v>
      </c>
      <c r="F23" s="288" t="s">
        <v>429</v>
      </c>
      <c r="G23" s="289" t="s">
        <v>637</v>
      </c>
      <c r="H23" s="288" t="s">
        <v>1196</v>
      </c>
      <c r="I23" s="288" t="s">
        <v>1219</v>
      </c>
      <c r="J23" s="289" t="s">
        <v>638</v>
      </c>
      <c r="K23" s="289" t="s">
        <v>639</v>
      </c>
      <c r="L23" s="288" t="s">
        <v>429</v>
      </c>
      <c r="M23" s="288" t="s">
        <v>429</v>
      </c>
      <c r="N23" s="288" t="s">
        <v>429</v>
      </c>
      <c r="O23" s="288" t="s">
        <v>429</v>
      </c>
      <c r="P23" s="288" t="s">
        <v>1196</v>
      </c>
      <c r="Q23" s="52"/>
    </row>
    <row r="24" spans="1:17">
      <c r="A24" s="307" t="s">
        <v>49</v>
      </c>
      <c r="B24" s="309" t="s">
        <v>636</v>
      </c>
      <c r="C24" s="288">
        <v>8</v>
      </c>
      <c r="D24" s="646">
        <v>7.2</v>
      </c>
      <c r="E24" s="646">
        <v>8</v>
      </c>
      <c r="F24" s="646">
        <v>8</v>
      </c>
      <c r="G24" s="647">
        <v>6.4</v>
      </c>
      <c r="H24" s="646">
        <v>0</v>
      </c>
      <c r="I24" s="646">
        <v>4</v>
      </c>
      <c r="J24" s="647">
        <v>6</v>
      </c>
      <c r="K24" s="647">
        <v>4.8</v>
      </c>
      <c r="L24" s="288">
        <v>8</v>
      </c>
      <c r="M24" s="288">
        <v>8</v>
      </c>
      <c r="N24" s="288">
        <v>8</v>
      </c>
      <c r="O24" s="288">
        <v>8</v>
      </c>
      <c r="P24" s="637">
        <v>0</v>
      </c>
      <c r="Q24" s="191"/>
    </row>
    <row r="25" spans="1:17">
      <c r="A25" s="307" t="s">
        <v>49</v>
      </c>
      <c r="B25" s="310" t="s">
        <v>72</v>
      </c>
      <c r="C25" s="290">
        <v>9</v>
      </c>
      <c r="D25" s="290">
        <v>9</v>
      </c>
      <c r="E25" s="290">
        <v>9</v>
      </c>
      <c r="F25" s="290">
        <v>9</v>
      </c>
      <c r="G25" s="290">
        <v>9</v>
      </c>
      <c r="H25" s="290">
        <v>9</v>
      </c>
      <c r="I25" s="290">
        <v>9</v>
      </c>
      <c r="J25" s="290">
        <v>9</v>
      </c>
      <c r="K25" s="290">
        <v>9</v>
      </c>
      <c r="L25" s="290">
        <v>9</v>
      </c>
      <c r="M25" s="290">
        <v>9</v>
      </c>
      <c r="N25" s="290">
        <v>9</v>
      </c>
      <c r="O25" s="290">
        <v>9</v>
      </c>
      <c r="P25" s="638">
        <v>9</v>
      </c>
      <c r="Q25" s="191"/>
    </row>
    <row r="26" spans="1:17">
      <c r="A26" s="311" t="s">
        <v>298</v>
      </c>
      <c r="B26" s="312" t="s">
        <v>299</v>
      </c>
      <c r="C26" s="644" t="s">
        <v>1194</v>
      </c>
      <c r="D26" s="291" t="s">
        <v>265</v>
      </c>
      <c r="E26" s="291" t="s">
        <v>264</v>
      </c>
      <c r="F26" s="291" t="s">
        <v>263</v>
      </c>
      <c r="G26" s="291" t="s">
        <v>262</v>
      </c>
      <c r="H26" s="291" t="s">
        <v>261</v>
      </c>
      <c r="I26" s="291" t="s">
        <v>260</v>
      </c>
      <c r="J26" s="291" t="s">
        <v>259</v>
      </c>
      <c r="K26" s="291" t="s">
        <v>258</v>
      </c>
      <c r="L26" s="291" t="s">
        <v>257</v>
      </c>
      <c r="M26" s="291" t="s">
        <v>256</v>
      </c>
      <c r="N26" s="291" t="s">
        <v>255</v>
      </c>
      <c r="O26" s="291" t="s">
        <v>254</v>
      </c>
      <c r="P26" s="639" t="s">
        <v>253</v>
      </c>
      <c r="Q26" s="191"/>
    </row>
    <row r="27" spans="1:17">
      <c r="A27" s="307" t="s">
        <v>1</v>
      </c>
      <c r="B27" s="310" t="s">
        <v>1220</v>
      </c>
      <c r="C27" s="645">
        <f>C24/8*100%</f>
        <v>1</v>
      </c>
      <c r="D27" s="645">
        <f>D24/8*100%</f>
        <v>0.9</v>
      </c>
      <c r="E27" s="645">
        <f>E24/8*100%</f>
        <v>1</v>
      </c>
      <c r="F27" s="645">
        <f>F24/8*100%</f>
        <v>1</v>
      </c>
      <c r="G27" s="645">
        <f>G24/8*100%</f>
        <v>0.8</v>
      </c>
      <c r="H27" s="645">
        <v>1</v>
      </c>
      <c r="I27" s="645">
        <f t="shared" ref="I27:O27" si="0">I24/8*100%</f>
        <v>0.5</v>
      </c>
      <c r="J27" s="645">
        <f t="shared" si="0"/>
        <v>0.75</v>
      </c>
      <c r="K27" s="645">
        <f t="shared" si="0"/>
        <v>0.6</v>
      </c>
      <c r="L27" s="645">
        <f t="shared" si="0"/>
        <v>1</v>
      </c>
      <c r="M27" s="645">
        <f t="shared" si="0"/>
        <v>1</v>
      </c>
      <c r="N27" s="645">
        <f t="shared" si="0"/>
        <v>1</v>
      </c>
      <c r="O27" s="645">
        <f t="shared" si="0"/>
        <v>1</v>
      </c>
      <c r="P27" s="645">
        <v>1</v>
      </c>
      <c r="Q27" s="191"/>
    </row>
    <row r="28" spans="1:17">
      <c r="A28" s="307" t="s">
        <v>1</v>
      </c>
      <c r="B28" s="310" t="s">
        <v>451</v>
      </c>
      <c r="C28" s="290" t="s">
        <v>411</v>
      </c>
      <c r="D28" s="290" t="s">
        <v>411</v>
      </c>
      <c r="E28" s="290" t="s">
        <v>411</v>
      </c>
      <c r="F28" s="290" t="s">
        <v>411</v>
      </c>
      <c r="G28" s="290" t="s">
        <v>411</v>
      </c>
      <c r="H28" s="289" t="s">
        <v>420</v>
      </c>
      <c r="I28" s="289" t="s">
        <v>469</v>
      </c>
      <c r="J28" s="289" t="s">
        <v>469</v>
      </c>
      <c r="K28" s="289" t="s">
        <v>411</v>
      </c>
      <c r="L28" s="289" t="s">
        <v>411</v>
      </c>
      <c r="M28" s="289" t="s">
        <v>411</v>
      </c>
      <c r="N28" s="289" t="s">
        <v>411</v>
      </c>
      <c r="O28" s="289" t="s">
        <v>411</v>
      </c>
      <c r="P28" s="640" t="s">
        <v>411</v>
      </c>
      <c r="Q28" s="191"/>
    </row>
    <row r="29" spans="1:17" ht="27.6">
      <c r="A29" s="307" t="s">
        <v>1</v>
      </c>
      <c r="B29" s="310" t="s">
        <v>452</v>
      </c>
      <c r="C29" s="305" t="s">
        <v>453</v>
      </c>
      <c r="D29" s="305" t="s">
        <v>462</v>
      </c>
      <c r="E29" s="305" t="s">
        <v>457</v>
      </c>
      <c r="F29" s="305" t="s">
        <v>464</v>
      </c>
      <c r="G29" s="305" t="s">
        <v>459</v>
      </c>
      <c r="H29" s="305" t="s">
        <v>453</v>
      </c>
      <c r="I29" s="305" t="s">
        <v>455</v>
      </c>
      <c r="J29" s="315" t="s">
        <v>468</v>
      </c>
      <c r="K29" s="305" t="s">
        <v>462</v>
      </c>
      <c r="L29" s="306" t="s">
        <v>454</v>
      </c>
      <c r="M29" s="315" t="s">
        <v>458</v>
      </c>
      <c r="N29" s="305" t="s">
        <v>462</v>
      </c>
      <c r="O29" s="306" t="s">
        <v>454</v>
      </c>
      <c r="P29" s="641" t="s">
        <v>1204</v>
      </c>
      <c r="Q29" s="191"/>
    </row>
    <row r="30" spans="1:17">
      <c r="A30" s="307" t="s">
        <v>1</v>
      </c>
      <c r="B30" s="310" t="s">
        <v>456</v>
      </c>
      <c r="C30" s="305" t="s">
        <v>463</v>
      </c>
      <c r="D30" s="305" t="s">
        <v>466</v>
      </c>
      <c r="E30" s="305" t="s">
        <v>460</v>
      </c>
      <c r="F30" s="305" t="s">
        <v>465</v>
      </c>
      <c r="G30" s="305" t="s">
        <v>461</v>
      </c>
      <c r="H30" s="305" t="s">
        <v>1186</v>
      </c>
      <c r="I30" s="306" t="s">
        <v>470</v>
      </c>
      <c r="J30" s="306" t="s">
        <v>471</v>
      </c>
      <c r="K30" s="306" t="s">
        <v>696</v>
      </c>
      <c r="L30" s="306" t="s">
        <v>467</v>
      </c>
      <c r="M30" s="306" t="s">
        <v>472</v>
      </c>
      <c r="N30" s="306" t="s">
        <v>1187</v>
      </c>
      <c r="O30" s="306" t="s">
        <v>1203</v>
      </c>
      <c r="P30" s="306" t="s">
        <v>560</v>
      </c>
      <c r="Q30" s="52"/>
    </row>
    <row r="31" spans="1:17">
      <c r="A31" s="307" t="s">
        <v>1</v>
      </c>
      <c r="B31" s="313" t="s">
        <v>18</v>
      </c>
      <c r="C31" s="305" t="s">
        <v>473</v>
      </c>
      <c r="D31" s="305" t="s">
        <v>473</v>
      </c>
      <c r="E31" s="305" t="s">
        <v>473</v>
      </c>
      <c r="F31" s="305" t="s">
        <v>473</v>
      </c>
      <c r="G31" s="305" t="s">
        <v>473</v>
      </c>
      <c r="H31" s="305" t="s">
        <v>593</v>
      </c>
      <c r="I31" s="306" t="s">
        <v>473</v>
      </c>
      <c r="J31" s="306" t="s">
        <v>473</v>
      </c>
      <c r="K31" s="306" t="s">
        <v>473</v>
      </c>
      <c r="L31" s="306" t="s">
        <v>473</v>
      </c>
      <c r="M31" s="306" t="s">
        <v>473</v>
      </c>
      <c r="N31" s="306" t="s">
        <v>473</v>
      </c>
      <c r="O31" s="306" t="s">
        <v>473</v>
      </c>
      <c r="P31" s="306" t="s">
        <v>1188</v>
      </c>
      <c r="Q31" s="52"/>
    </row>
    <row r="32" spans="1:17">
      <c r="A32" s="307" t="s">
        <v>1</v>
      </c>
      <c r="B32" s="314" t="s">
        <v>19</v>
      </c>
      <c r="C32" s="75">
        <v>5000000</v>
      </c>
      <c r="D32" s="75">
        <v>4500000</v>
      </c>
      <c r="E32" s="322">
        <v>7000000</v>
      </c>
      <c r="F32" s="323">
        <v>9000000</v>
      </c>
      <c r="G32" s="324">
        <v>14000000</v>
      </c>
      <c r="H32" s="324">
        <v>200</v>
      </c>
      <c r="I32" s="324">
        <v>5000</v>
      </c>
      <c r="J32" s="324">
        <v>4000</v>
      </c>
      <c r="K32" s="324">
        <v>50000000</v>
      </c>
      <c r="L32" s="324">
        <v>8000000</v>
      </c>
      <c r="M32" s="324">
        <v>90000000</v>
      </c>
      <c r="N32" s="324">
        <v>5000000</v>
      </c>
      <c r="O32" s="324">
        <v>6500000</v>
      </c>
      <c r="P32" s="324">
        <v>800000</v>
      </c>
      <c r="Q32" s="52"/>
    </row>
    <row r="33" spans="1:17">
      <c r="A33" s="307" t="s">
        <v>1</v>
      </c>
      <c r="B33" s="313" t="s">
        <v>18</v>
      </c>
      <c r="C33" s="305" t="s">
        <v>526</v>
      </c>
      <c r="D33" s="305" t="s">
        <v>526</v>
      </c>
      <c r="E33" s="305" t="s">
        <v>526</v>
      </c>
      <c r="F33" s="305"/>
      <c r="G33" s="305"/>
      <c r="H33" s="305"/>
      <c r="I33" s="305" t="s">
        <v>594</v>
      </c>
      <c r="J33" s="305"/>
      <c r="K33" s="305" t="s">
        <v>527</v>
      </c>
      <c r="L33" s="305" t="s">
        <v>527</v>
      </c>
      <c r="M33" s="305"/>
      <c r="N33" s="305" t="s">
        <v>527</v>
      </c>
      <c r="O33" s="305" t="s">
        <v>527</v>
      </c>
      <c r="P33" s="305"/>
      <c r="Q33" s="52"/>
    </row>
    <row r="34" spans="1:17">
      <c r="A34" s="307" t="s">
        <v>1</v>
      </c>
      <c r="B34" s="314" t="s">
        <v>19</v>
      </c>
      <c r="C34" s="75">
        <v>500000</v>
      </c>
      <c r="D34" s="75">
        <v>450000</v>
      </c>
      <c r="E34" s="75">
        <v>700000</v>
      </c>
      <c r="F34" s="323"/>
      <c r="G34" s="324"/>
      <c r="H34" s="324"/>
      <c r="I34" s="324">
        <v>500</v>
      </c>
      <c r="J34" s="324"/>
      <c r="K34" s="324">
        <v>5000000</v>
      </c>
      <c r="L34" s="324">
        <v>800000</v>
      </c>
      <c r="M34" s="324"/>
      <c r="N34" s="324">
        <v>1000000</v>
      </c>
      <c r="O34" s="324">
        <v>1000000</v>
      </c>
      <c r="P34" s="324"/>
      <c r="Q34" s="52"/>
    </row>
    <row r="35" spans="1:17">
      <c r="A35" s="307" t="s">
        <v>1</v>
      </c>
      <c r="B35" s="313" t="s">
        <v>18</v>
      </c>
      <c r="C35" s="305" t="s">
        <v>567</v>
      </c>
      <c r="D35" s="305" t="s">
        <v>567</v>
      </c>
      <c r="E35" s="305" t="s">
        <v>567</v>
      </c>
      <c r="F35" s="305"/>
      <c r="G35" s="305"/>
      <c r="H35" s="305"/>
      <c r="I35" s="306" t="s">
        <v>595</v>
      </c>
      <c r="J35" s="306"/>
      <c r="K35" s="306" t="s">
        <v>567</v>
      </c>
      <c r="L35" s="306" t="s">
        <v>567</v>
      </c>
      <c r="M35" s="306"/>
      <c r="N35" s="306" t="s">
        <v>568</v>
      </c>
      <c r="O35" s="306" t="s">
        <v>568</v>
      </c>
      <c r="P35" s="306"/>
      <c r="Q35" s="52"/>
    </row>
    <row r="36" spans="1:17">
      <c r="A36" s="307" t="s">
        <v>1</v>
      </c>
      <c r="B36" s="314" t="s">
        <v>19</v>
      </c>
      <c r="C36" s="75">
        <v>1000000</v>
      </c>
      <c r="D36" s="75">
        <v>900000</v>
      </c>
      <c r="E36" s="75">
        <v>1400000</v>
      </c>
      <c r="F36" s="323"/>
      <c r="G36" s="324"/>
      <c r="H36" s="324"/>
      <c r="I36" s="324">
        <v>1000</v>
      </c>
      <c r="J36" s="324"/>
      <c r="K36" s="324">
        <v>10000000</v>
      </c>
      <c r="L36" s="324">
        <v>1600000</v>
      </c>
      <c r="M36" s="324"/>
      <c r="N36" s="324">
        <v>1500000</v>
      </c>
      <c r="O36" s="324">
        <v>1500000</v>
      </c>
      <c r="P36" s="324"/>
      <c r="Q36" s="52"/>
    </row>
    <row r="37" spans="1:17">
      <c r="A37" s="10" t="s">
        <v>50</v>
      </c>
      <c r="B37" s="56" t="s">
        <v>20</v>
      </c>
      <c r="C37" s="63"/>
      <c r="D37" s="63"/>
      <c r="E37" s="74"/>
      <c r="F37" s="73"/>
      <c r="G37" s="67"/>
      <c r="H37" s="67"/>
      <c r="I37" s="67"/>
      <c r="J37" s="67"/>
      <c r="K37" s="67"/>
      <c r="L37" s="67"/>
      <c r="M37" s="67"/>
      <c r="N37" s="67"/>
      <c r="O37" s="67"/>
      <c r="P37" s="67"/>
      <c r="Q37" s="52"/>
    </row>
    <row r="38" spans="1:17">
      <c r="A38" s="10" t="s">
        <v>50</v>
      </c>
      <c r="B38" s="56" t="s">
        <v>21</v>
      </c>
      <c r="C38" s="63"/>
      <c r="D38" s="63"/>
      <c r="E38" s="74"/>
      <c r="F38" s="73"/>
      <c r="G38" s="67"/>
      <c r="H38" s="67"/>
      <c r="I38" s="67"/>
      <c r="J38" s="67"/>
      <c r="K38" s="67"/>
      <c r="L38" s="67"/>
      <c r="M38" s="67"/>
      <c r="N38" s="67"/>
      <c r="O38" s="67"/>
      <c r="P38" s="67"/>
      <c r="Q38" s="52"/>
    </row>
    <row r="39" spans="1:17">
      <c r="A39" s="10" t="s">
        <v>50</v>
      </c>
      <c r="B39" s="56" t="s">
        <v>73</v>
      </c>
      <c r="C39" s="63" t="s">
        <v>480</v>
      </c>
      <c r="D39" s="63" t="s">
        <v>480</v>
      </c>
      <c r="E39" s="63" t="s">
        <v>480</v>
      </c>
      <c r="F39" s="63" t="s">
        <v>480</v>
      </c>
      <c r="G39" s="63" t="s">
        <v>480</v>
      </c>
      <c r="H39" s="63" t="s">
        <v>480</v>
      </c>
      <c r="I39" s="63" t="s">
        <v>480</v>
      </c>
      <c r="J39" s="63" t="s">
        <v>480</v>
      </c>
      <c r="K39" s="63" t="s">
        <v>480</v>
      </c>
      <c r="L39" s="63" t="s">
        <v>480</v>
      </c>
      <c r="M39" s="63" t="s">
        <v>480</v>
      </c>
      <c r="N39" s="63" t="s">
        <v>480</v>
      </c>
      <c r="O39" s="63" t="s">
        <v>480</v>
      </c>
      <c r="P39" s="63" t="s">
        <v>480</v>
      </c>
      <c r="Q39" s="52"/>
    </row>
    <row r="40" spans="1:17">
      <c r="A40" s="63" t="s">
        <v>85</v>
      </c>
      <c r="B40" s="58" t="s">
        <v>75</v>
      </c>
      <c r="C40" s="302" t="s">
        <v>439</v>
      </c>
      <c r="D40" s="302" t="s">
        <v>439</v>
      </c>
      <c r="E40" s="302" t="s">
        <v>439</v>
      </c>
      <c r="F40" s="302" t="s">
        <v>439</v>
      </c>
      <c r="G40" s="302" t="s">
        <v>439</v>
      </c>
      <c r="H40" s="302" t="s">
        <v>439</v>
      </c>
      <c r="I40" s="302" t="s">
        <v>439</v>
      </c>
      <c r="J40" s="302" t="s">
        <v>439</v>
      </c>
      <c r="K40" s="302" t="s">
        <v>439</v>
      </c>
      <c r="L40" s="302" t="s">
        <v>439</v>
      </c>
      <c r="M40" s="302" t="s">
        <v>439</v>
      </c>
      <c r="N40" s="302" t="s">
        <v>439</v>
      </c>
      <c r="O40" s="302" t="s">
        <v>439</v>
      </c>
      <c r="P40" s="302" t="s">
        <v>439</v>
      </c>
      <c r="Q40" s="552">
        <v>39814</v>
      </c>
    </row>
    <row r="41" spans="1:17">
      <c r="A41" s="63" t="s">
        <v>85</v>
      </c>
      <c r="B41" s="59" t="s">
        <v>22</v>
      </c>
      <c r="C41" s="304">
        <v>40057</v>
      </c>
      <c r="D41" s="304">
        <v>38749</v>
      </c>
      <c r="E41" s="304">
        <f>E7</f>
        <v>43473</v>
      </c>
      <c r="F41" s="304">
        <v>42128</v>
      </c>
      <c r="G41" s="304">
        <v>40057</v>
      </c>
      <c r="H41" s="304">
        <f>H7</f>
        <v>43466</v>
      </c>
      <c r="I41" s="304">
        <v>38231</v>
      </c>
      <c r="J41" s="304">
        <v>43483</v>
      </c>
      <c r="K41" s="304">
        <f>K7</f>
        <v>43494</v>
      </c>
      <c r="L41" s="304">
        <v>40071</v>
      </c>
      <c r="M41" s="304">
        <v>41896</v>
      </c>
      <c r="N41" s="304">
        <f>N7</f>
        <v>43466</v>
      </c>
      <c r="O41" s="304">
        <v>39448</v>
      </c>
      <c r="P41" s="304">
        <f>P7</f>
        <v>43466</v>
      </c>
      <c r="Q41" s="460">
        <v>43466</v>
      </c>
    </row>
    <row r="42" spans="1:17">
      <c r="A42" s="63" t="s">
        <v>85</v>
      </c>
      <c r="B42" s="58" t="s">
        <v>74</v>
      </c>
      <c r="C42" s="302" t="s">
        <v>440</v>
      </c>
      <c r="D42" s="302" t="s">
        <v>440</v>
      </c>
      <c r="E42" s="302" t="s">
        <v>440</v>
      </c>
      <c r="F42" s="73" t="s">
        <v>440</v>
      </c>
      <c r="G42" s="303" t="s">
        <v>441</v>
      </c>
      <c r="H42" s="303" t="s">
        <v>440</v>
      </c>
      <c r="I42" s="303" t="s">
        <v>441</v>
      </c>
      <c r="J42" s="303" t="s">
        <v>440</v>
      </c>
      <c r="K42" s="303" t="s">
        <v>442</v>
      </c>
      <c r="L42" s="303" t="s">
        <v>440</v>
      </c>
      <c r="M42" s="303" t="s">
        <v>440</v>
      </c>
      <c r="N42" s="303" t="s">
        <v>440</v>
      </c>
      <c r="O42" s="303" t="s">
        <v>443</v>
      </c>
      <c r="P42" s="303" t="s">
        <v>440</v>
      </c>
      <c r="Q42" s="460">
        <v>43709</v>
      </c>
    </row>
    <row r="43" spans="1:17">
      <c r="A43" s="63" t="s">
        <v>85</v>
      </c>
      <c r="B43" s="59" t="s">
        <v>76</v>
      </c>
      <c r="C43" s="304">
        <f>C41</f>
        <v>40057</v>
      </c>
      <c r="D43" s="304">
        <f t="shared" ref="D43:P43" si="1">D41</f>
        <v>38749</v>
      </c>
      <c r="E43" s="304">
        <f t="shared" si="1"/>
        <v>43473</v>
      </c>
      <c r="F43" s="304">
        <f t="shared" si="1"/>
        <v>42128</v>
      </c>
      <c r="G43" s="304">
        <f t="shared" si="1"/>
        <v>40057</v>
      </c>
      <c r="H43" s="304">
        <f t="shared" si="1"/>
        <v>43466</v>
      </c>
      <c r="I43" s="304">
        <f t="shared" si="1"/>
        <v>38231</v>
      </c>
      <c r="J43" s="304">
        <f t="shared" si="1"/>
        <v>43483</v>
      </c>
      <c r="K43" s="304">
        <f t="shared" si="1"/>
        <v>43494</v>
      </c>
      <c r="L43" s="304">
        <v>40071</v>
      </c>
      <c r="M43" s="304">
        <f t="shared" si="1"/>
        <v>41896</v>
      </c>
      <c r="N43" s="304">
        <f t="shared" si="1"/>
        <v>43466</v>
      </c>
      <c r="O43" s="304">
        <f t="shared" si="1"/>
        <v>39448</v>
      </c>
      <c r="P43" s="304">
        <f t="shared" si="1"/>
        <v>43466</v>
      </c>
      <c r="Q43" s="461">
        <f>_xlfn.DAYS(Q42,Q41)+1</f>
        <v>244</v>
      </c>
    </row>
    <row r="44" spans="1:17">
      <c r="A44" s="63" t="s">
        <v>85</v>
      </c>
      <c r="B44" s="58" t="s">
        <v>77</v>
      </c>
      <c r="C44" s="302" t="s">
        <v>1197</v>
      </c>
      <c r="D44" s="302" t="s">
        <v>1197</v>
      </c>
      <c r="E44" s="302" t="s">
        <v>1197</v>
      </c>
      <c r="F44" s="302" t="s">
        <v>1197</v>
      </c>
      <c r="G44" s="302" t="s">
        <v>1197</v>
      </c>
      <c r="H44" s="302"/>
      <c r="I44" s="302" t="s">
        <v>1197</v>
      </c>
      <c r="J44" s="302"/>
      <c r="K44" s="302" t="s">
        <v>1197</v>
      </c>
      <c r="L44" s="302" t="s">
        <v>1197</v>
      </c>
      <c r="M44" s="302" t="s">
        <v>1197</v>
      </c>
      <c r="N44" s="302" t="s">
        <v>1197</v>
      </c>
      <c r="O44" s="302" t="s">
        <v>1197</v>
      </c>
      <c r="P44" s="302"/>
      <c r="Q44" s="52"/>
    </row>
    <row r="45" spans="1:17">
      <c r="A45" s="63" t="s">
        <v>85</v>
      </c>
      <c r="B45" s="59" t="s">
        <v>78</v>
      </c>
      <c r="C45" s="304">
        <f>C41</f>
        <v>40057</v>
      </c>
      <c r="D45" s="304">
        <f t="shared" ref="D45:O45" si="2">D41</f>
        <v>38749</v>
      </c>
      <c r="E45" s="304">
        <f t="shared" si="2"/>
        <v>43473</v>
      </c>
      <c r="F45" s="304">
        <f t="shared" si="2"/>
        <v>42128</v>
      </c>
      <c r="G45" s="304">
        <f t="shared" si="2"/>
        <v>40057</v>
      </c>
      <c r="H45" s="304"/>
      <c r="I45" s="304">
        <f t="shared" si="2"/>
        <v>38231</v>
      </c>
      <c r="J45" s="304"/>
      <c r="K45" s="304">
        <f t="shared" si="2"/>
        <v>43494</v>
      </c>
      <c r="L45" s="304">
        <f t="shared" si="2"/>
        <v>40071</v>
      </c>
      <c r="M45" s="304">
        <f t="shared" si="2"/>
        <v>41896</v>
      </c>
      <c r="N45" s="304">
        <f t="shared" si="2"/>
        <v>43466</v>
      </c>
      <c r="O45" s="304">
        <f t="shared" si="2"/>
        <v>39448</v>
      </c>
      <c r="P45" s="304"/>
      <c r="Q45" s="461"/>
    </row>
    <row r="46" spans="1:17" s="9" customFormat="1" ht="12.75" customHeight="1">
      <c r="A46" s="10" t="s">
        <v>51</v>
      </c>
      <c r="B46" s="59" t="s">
        <v>89</v>
      </c>
      <c r="C46" s="63"/>
      <c r="D46" s="63"/>
      <c r="E46" s="76"/>
      <c r="F46" s="77"/>
      <c r="G46" s="67"/>
      <c r="H46" s="67"/>
      <c r="I46" s="67"/>
      <c r="J46" s="67"/>
      <c r="K46" s="67"/>
      <c r="L46" s="67"/>
      <c r="M46" s="67"/>
      <c r="N46" s="67"/>
      <c r="O46" s="67"/>
      <c r="P46" s="67"/>
      <c r="Q46" s="87"/>
    </row>
    <row r="47" spans="1:17" s="9" customFormat="1" ht="12.75" customHeight="1">
      <c r="A47" s="10" t="s">
        <v>51</v>
      </c>
      <c r="B47" s="56" t="s">
        <v>23</v>
      </c>
      <c r="C47" s="63"/>
      <c r="D47" s="63"/>
      <c r="E47" s="74"/>
      <c r="F47" s="78"/>
      <c r="G47" s="67"/>
      <c r="H47" s="67"/>
      <c r="I47" s="67"/>
      <c r="J47" s="67"/>
      <c r="K47" s="67"/>
      <c r="L47" s="67"/>
      <c r="M47" s="67"/>
      <c r="N47" s="67"/>
      <c r="O47" s="67"/>
      <c r="P47" s="67"/>
      <c r="Q47" s="87"/>
    </row>
    <row r="48" spans="1:17" s="9" customFormat="1" ht="12.75" customHeight="1">
      <c r="A48" s="95" t="s">
        <v>112</v>
      </c>
      <c r="B48" s="92" t="s">
        <v>107</v>
      </c>
      <c r="C48" s="63"/>
      <c r="D48" s="63"/>
      <c r="E48" s="74"/>
      <c r="F48" s="78"/>
      <c r="G48" s="67"/>
      <c r="H48" s="67"/>
      <c r="I48" s="67"/>
      <c r="J48" s="67"/>
      <c r="K48" s="67"/>
      <c r="L48" s="67"/>
      <c r="M48" s="67"/>
      <c r="N48" s="67"/>
      <c r="O48" s="67"/>
      <c r="P48" s="67"/>
      <c r="Q48" s="87"/>
    </row>
    <row r="49" spans="1:17" s="9" customFormat="1" ht="12.75" customHeight="1">
      <c r="A49" s="95">
        <v>9520</v>
      </c>
      <c r="B49" s="91" t="s">
        <v>554</v>
      </c>
      <c r="C49" s="302" t="s">
        <v>540</v>
      </c>
      <c r="D49" s="302" t="s">
        <v>540</v>
      </c>
      <c r="E49" s="302" t="s">
        <v>540</v>
      </c>
      <c r="F49" s="302" t="s">
        <v>540</v>
      </c>
      <c r="G49" s="302" t="s">
        <v>540</v>
      </c>
      <c r="H49" s="370" t="s">
        <v>540</v>
      </c>
      <c r="I49" s="370" t="s">
        <v>543</v>
      </c>
      <c r="J49" s="370" t="s">
        <v>543</v>
      </c>
      <c r="K49" s="370" t="s">
        <v>540</v>
      </c>
      <c r="L49" s="370" t="s">
        <v>540</v>
      </c>
      <c r="M49" s="370" t="s">
        <v>540</v>
      </c>
      <c r="N49" s="370" t="s">
        <v>540</v>
      </c>
      <c r="O49" s="370" t="s">
        <v>540</v>
      </c>
      <c r="P49" s="370" t="s">
        <v>540</v>
      </c>
      <c r="Q49" s="87"/>
    </row>
    <row r="50" spans="1:17">
      <c r="A50" s="95">
        <v>9520</v>
      </c>
      <c r="B50" s="93" t="s">
        <v>16</v>
      </c>
      <c r="C50" s="302" t="s">
        <v>540</v>
      </c>
      <c r="D50" s="302" t="s">
        <v>540</v>
      </c>
      <c r="E50" s="302" t="s">
        <v>540</v>
      </c>
      <c r="F50" s="302" t="s">
        <v>540</v>
      </c>
      <c r="G50" s="302" t="s">
        <v>540</v>
      </c>
      <c r="H50" s="302" t="s">
        <v>543</v>
      </c>
      <c r="I50" s="303" t="s">
        <v>559</v>
      </c>
      <c r="J50" s="303" t="s">
        <v>559</v>
      </c>
      <c r="K50" s="302" t="s">
        <v>540</v>
      </c>
      <c r="L50" s="302" t="s">
        <v>540</v>
      </c>
      <c r="M50" s="302" t="s">
        <v>540</v>
      </c>
      <c r="N50" s="302" t="s">
        <v>540</v>
      </c>
      <c r="O50" s="302" t="s">
        <v>540</v>
      </c>
      <c r="P50" s="302" t="s">
        <v>540</v>
      </c>
      <c r="Q50" s="52"/>
    </row>
    <row r="51" spans="1:17">
      <c r="A51" s="95">
        <v>9520</v>
      </c>
      <c r="B51" s="93" t="s">
        <v>553</v>
      </c>
      <c r="C51" s="302" t="s">
        <v>540</v>
      </c>
      <c r="D51" s="302" t="s">
        <v>540</v>
      </c>
      <c r="E51" s="302" t="s">
        <v>540</v>
      </c>
      <c r="F51" s="626" t="s">
        <v>544</v>
      </c>
      <c r="G51" s="626" t="s">
        <v>544</v>
      </c>
      <c r="H51" s="302" t="s">
        <v>540</v>
      </c>
      <c r="I51" s="303" t="s">
        <v>560</v>
      </c>
      <c r="J51" s="303" t="s">
        <v>560</v>
      </c>
      <c r="K51" s="302" t="s">
        <v>540</v>
      </c>
      <c r="L51" s="302" t="s">
        <v>540</v>
      </c>
      <c r="M51" s="302" t="s">
        <v>540</v>
      </c>
      <c r="N51" s="302" t="s">
        <v>540</v>
      </c>
      <c r="O51" s="302" t="s">
        <v>540</v>
      </c>
      <c r="P51" s="627" t="s">
        <v>1192</v>
      </c>
      <c r="Q51" s="52"/>
    </row>
    <row r="52" spans="1:17">
      <c r="A52" s="95">
        <v>9520</v>
      </c>
      <c r="B52" s="93" t="s">
        <v>555</v>
      </c>
      <c r="C52" s="63" t="s">
        <v>556</v>
      </c>
      <c r="D52" s="63" t="s">
        <v>556</v>
      </c>
      <c r="E52" s="63" t="s">
        <v>556</v>
      </c>
      <c r="F52" s="63" t="s">
        <v>557</v>
      </c>
      <c r="G52" s="63" t="s">
        <v>557</v>
      </c>
      <c r="H52" s="63" t="s">
        <v>558</v>
      </c>
      <c r="I52" s="67" t="s">
        <v>561</v>
      </c>
      <c r="J52" s="67" t="s">
        <v>561</v>
      </c>
      <c r="K52" s="63" t="s">
        <v>562</v>
      </c>
      <c r="L52" s="63" t="s">
        <v>562</v>
      </c>
      <c r="M52" s="63" t="s">
        <v>562</v>
      </c>
      <c r="N52" s="63" t="s">
        <v>562</v>
      </c>
      <c r="O52" s="63" t="s">
        <v>562</v>
      </c>
      <c r="P52" s="86" t="s">
        <v>557</v>
      </c>
      <c r="Q52" s="52"/>
    </row>
    <row r="53" spans="1:17">
      <c r="A53" s="95">
        <v>9521</v>
      </c>
      <c r="B53" s="94" t="s">
        <v>546</v>
      </c>
      <c r="C53" s="302" t="s">
        <v>540</v>
      </c>
      <c r="D53" s="302" t="s">
        <v>541</v>
      </c>
      <c r="E53" s="302" t="s">
        <v>542</v>
      </c>
      <c r="F53" s="302" t="s">
        <v>540</v>
      </c>
      <c r="G53" s="302"/>
      <c r="H53" s="302" t="s">
        <v>544</v>
      </c>
      <c r="I53" s="302" t="s">
        <v>543</v>
      </c>
      <c r="J53" s="302" t="s">
        <v>545</v>
      </c>
      <c r="K53" s="302" t="s">
        <v>439</v>
      </c>
      <c r="L53" s="302"/>
      <c r="M53" s="302" t="s">
        <v>439</v>
      </c>
      <c r="N53" s="302"/>
      <c r="O53" s="302"/>
      <c r="P53" s="370"/>
      <c r="Q53" s="52"/>
    </row>
    <row r="54" spans="1:17">
      <c r="A54" s="95">
        <v>9521</v>
      </c>
      <c r="B54" s="94" t="s">
        <v>547</v>
      </c>
      <c r="C54" s="371">
        <v>0.08</v>
      </c>
      <c r="D54" s="371">
        <v>0.08</v>
      </c>
      <c r="E54" s="371">
        <v>0</v>
      </c>
      <c r="F54" s="371">
        <v>0.08</v>
      </c>
      <c r="G54" s="371"/>
      <c r="H54" s="371">
        <v>0</v>
      </c>
      <c r="I54" s="371">
        <v>0</v>
      </c>
      <c r="J54" s="371">
        <v>0</v>
      </c>
      <c r="K54" s="371">
        <v>0.08</v>
      </c>
      <c r="L54" s="371"/>
      <c r="M54" s="371">
        <v>0.08</v>
      </c>
      <c r="N54" s="371"/>
      <c r="O54" s="371"/>
      <c r="P54" s="372"/>
      <c r="Q54" s="52"/>
    </row>
    <row r="55" spans="1:17">
      <c r="A55" s="95">
        <v>9521</v>
      </c>
      <c r="B55" s="94" t="s">
        <v>548</v>
      </c>
      <c r="C55" s="371">
        <v>0.17</v>
      </c>
      <c r="D55" s="371">
        <v>0.17499999999999999</v>
      </c>
      <c r="E55" s="371">
        <v>5.0000000000000001E-3</v>
      </c>
      <c r="F55" s="371">
        <v>0.17</v>
      </c>
      <c r="G55" s="371"/>
      <c r="H55" s="371">
        <v>3.5000000000000003E-2</v>
      </c>
      <c r="I55" s="371">
        <v>0.03</v>
      </c>
      <c r="J55" s="371">
        <v>5.0000000000000001E-3</v>
      </c>
      <c r="K55" s="371">
        <v>0.17</v>
      </c>
      <c r="L55" s="371"/>
      <c r="M55" s="371">
        <v>0.17</v>
      </c>
      <c r="N55" s="371"/>
      <c r="O55" s="371"/>
      <c r="P55" s="372"/>
      <c r="Q55" s="52"/>
    </row>
    <row r="56" spans="1:17">
      <c r="A56" s="95">
        <v>9521</v>
      </c>
      <c r="B56" s="94" t="s">
        <v>108</v>
      </c>
      <c r="C56" s="302" t="s">
        <v>540</v>
      </c>
      <c r="D56" s="302" t="s">
        <v>439</v>
      </c>
      <c r="E56" s="302" t="s">
        <v>439</v>
      </c>
      <c r="F56" s="302" t="s">
        <v>540</v>
      </c>
      <c r="G56" s="302"/>
      <c r="H56" s="302" t="s">
        <v>440</v>
      </c>
      <c r="I56" s="302" t="s">
        <v>543</v>
      </c>
      <c r="J56" s="302" t="s">
        <v>440</v>
      </c>
      <c r="K56" s="302" t="s">
        <v>439</v>
      </c>
      <c r="L56" s="302"/>
      <c r="M56" s="302" t="s">
        <v>439</v>
      </c>
      <c r="N56" s="302"/>
      <c r="O56" s="302"/>
      <c r="P56" s="370"/>
      <c r="Q56" s="52"/>
    </row>
    <row r="57" spans="1:17">
      <c r="A57" s="95">
        <v>9521</v>
      </c>
      <c r="B57" s="94" t="s">
        <v>549</v>
      </c>
      <c r="C57" s="371">
        <v>0.01</v>
      </c>
      <c r="D57" s="371">
        <v>0.01</v>
      </c>
      <c r="E57" s="371">
        <v>0.01</v>
      </c>
      <c r="F57" s="371">
        <v>0.01</v>
      </c>
      <c r="G57" s="371"/>
      <c r="H57" s="371">
        <v>0</v>
      </c>
      <c r="I57" s="371">
        <v>0</v>
      </c>
      <c r="J57" s="371">
        <v>0</v>
      </c>
      <c r="K57" s="371">
        <v>0.01</v>
      </c>
      <c r="L57" s="371"/>
      <c r="M57" s="371">
        <v>0.01</v>
      </c>
      <c r="N57" s="371"/>
      <c r="O57" s="371"/>
      <c r="P57" s="372"/>
      <c r="Q57" s="52"/>
    </row>
    <row r="58" spans="1:17">
      <c r="A58" s="95">
        <v>9521</v>
      </c>
      <c r="B58" s="94" t="s">
        <v>550</v>
      </c>
      <c r="C58" s="371">
        <v>0.01</v>
      </c>
      <c r="D58" s="371">
        <v>0.01</v>
      </c>
      <c r="E58" s="371">
        <v>0.01</v>
      </c>
      <c r="F58" s="371">
        <v>0.01</v>
      </c>
      <c r="G58" s="371"/>
      <c r="H58" s="371">
        <v>0</v>
      </c>
      <c r="I58" s="371">
        <v>0</v>
      </c>
      <c r="J58" s="371">
        <v>0</v>
      </c>
      <c r="K58" s="371">
        <v>0.01</v>
      </c>
      <c r="L58" s="371"/>
      <c r="M58" s="371">
        <v>0.01</v>
      </c>
      <c r="N58" s="371"/>
      <c r="O58" s="371"/>
      <c r="P58" s="372"/>
      <c r="Q58" s="52"/>
    </row>
    <row r="59" spans="1:17">
      <c r="A59" s="95">
        <v>9521</v>
      </c>
      <c r="B59" s="92" t="s">
        <v>109</v>
      </c>
      <c r="C59" s="302" t="s">
        <v>540</v>
      </c>
      <c r="D59" s="302" t="s">
        <v>439</v>
      </c>
      <c r="E59" s="302" t="s">
        <v>439</v>
      </c>
      <c r="F59" s="302" t="s">
        <v>540</v>
      </c>
      <c r="G59" s="302"/>
      <c r="H59" s="302" t="s">
        <v>440</v>
      </c>
      <c r="I59" s="302" t="s">
        <v>543</v>
      </c>
      <c r="J59" s="302" t="s">
        <v>440</v>
      </c>
      <c r="K59" s="302" t="s">
        <v>439</v>
      </c>
      <c r="L59" s="302"/>
      <c r="M59" s="302" t="s">
        <v>439</v>
      </c>
      <c r="N59" s="302"/>
      <c r="O59" s="302"/>
      <c r="P59" s="370"/>
      <c r="Q59" s="52"/>
    </row>
    <row r="60" spans="1:17">
      <c r="A60" s="95">
        <v>9521</v>
      </c>
      <c r="B60" s="94" t="s">
        <v>551</v>
      </c>
      <c r="C60" s="371">
        <v>1.4999999999999999E-2</v>
      </c>
      <c r="D60" s="371">
        <v>1.4999999999999999E-2</v>
      </c>
      <c r="E60" s="371">
        <v>1.4999999999999999E-2</v>
      </c>
      <c r="F60" s="371">
        <v>1.4999999999999999E-2</v>
      </c>
      <c r="G60" s="371"/>
      <c r="H60" s="371">
        <v>1.4999999999999999E-2</v>
      </c>
      <c r="I60" s="371">
        <v>1.4999999999999999E-2</v>
      </c>
      <c r="J60" s="371">
        <v>1.4999999999999999E-2</v>
      </c>
      <c r="K60" s="371">
        <v>1.4999999999999999E-2</v>
      </c>
      <c r="L60" s="371"/>
      <c r="M60" s="371">
        <v>1.4999999999999999E-2</v>
      </c>
      <c r="N60" s="371"/>
      <c r="O60" s="371"/>
      <c r="P60" s="372"/>
      <c r="Q60" s="52"/>
    </row>
    <row r="61" spans="1:17">
      <c r="A61" s="95">
        <v>9521</v>
      </c>
      <c r="B61" s="94" t="s">
        <v>552</v>
      </c>
      <c r="C61" s="371">
        <v>0.03</v>
      </c>
      <c r="D61" s="371">
        <v>0.03</v>
      </c>
      <c r="E61" s="371">
        <v>0.03</v>
      </c>
      <c r="F61" s="371">
        <v>0.03</v>
      </c>
      <c r="G61" s="371"/>
      <c r="H61" s="371">
        <v>0.03</v>
      </c>
      <c r="I61" s="371">
        <v>0.03</v>
      </c>
      <c r="J61" s="371">
        <v>0.03</v>
      </c>
      <c r="K61" s="371">
        <v>0.03</v>
      </c>
      <c r="L61" s="371"/>
      <c r="M61" s="371">
        <v>0.03</v>
      </c>
      <c r="N61" s="371"/>
      <c r="O61" s="371"/>
      <c r="P61" s="372"/>
      <c r="Q61" s="52"/>
    </row>
    <row r="62" spans="1:17">
      <c r="A62" s="63">
        <v>2006</v>
      </c>
      <c r="B62" s="57" t="s">
        <v>24</v>
      </c>
      <c r="C62" s="63">
        <v>50</v>
      </c>
      <c r="D62" s="63">
        <v>50</v>
      </c>
      <c r="E62" s="63">
        <v>50</v>
      </c>
      <c r="F62" s="63">
        <v>50</v>
      </c>
      <c r="G62" s="63">
        <v>50</v>
      </c>
      <c r="H62" s="63">
        <v>50</v>
      </c>
      <c r="I62" s="67">
        <v>50</v>
      </c>
      <c r="J62" s="67">
        <v>50</v>
      </c>
      <c r="K62" s="67">
        <v>50</v>
      </c>
      <c r="L62" s="67">
        <v>50</v>
      </c>
      <c r="M62" s="67">
        <v>50</v>
      </c>
      <c r="N62" s="67">
        <v>50</v>
      </c>
      <c r="O62" s="67">
        <v>50</v>
      </c>
      <c r="P62" s="67">
        <v>50</v>
      </c>
      <c r="Q62" s="52"/>
    </row>
    <row r="63" spans="1:17">
      <c r="A63" s="63">
        <v>2006</v>
      </c>
      <c r="B63" s="57" t="s">
        <v>635</v>
      </c>
      <c r="C63" s="636">
        <f t="shared" ref="C63:P63" si="3">IF(OR(C10="S",C10="C"),0,IF(OR(C10=1,C10=3),ROUND(20*8*(_xlfn.DAYS(EOMONTH(C7,11),C7)+1)/365,2),ROUND(20*C24/365*(_xlfn.DAYS(EOMONTH(C7,11),C7)+1),2)))</f>
        <v>160</v>
      </c>
      <c r="D63" s="636">
        <f t="shared" si="3"/>
        <v>144</v>
      </c>
      <c r="E63" s="636">
        <f t="shared" si="3"/>
        <v>156.93</v>
      </c>
      <c r="F63" s="636">
        <f t="shared" si="3"/>
        <v>160</v>
      </c>
      <c r="G63" s="636">
        <f t="shared" si="3"/>
        <v>128</v>
      </c>
      <c r="H63" s="636">
        <f t="shared" si="3"/>
        <v>0</v>
      </c>
      <c r="I63" s="636">
        <f t="shared" si="3"/>
        <v>80</v>
      </c>
      <c r="J63" s="636">
        <f t="shared" si="3"/>
        <v>0</v>
      </c>
      <c r="K63" s="636">
        <f t="shared" si="3"/>
        <v>88.64</v>
      </c>
      <c r="L63" s="636">
        <f t="shared" si="3"/>
        <v>160</v>
      </c>
      <c r="M63" s="636">
        <f t="shared" si="3"/>
        <v>160</v>
      </c>
      <c r="N63" s="636">
        <f t="shared" si="3"/>
        <v>160</v>
      </c>
      <c r="O63" s="636">
        <f t="shared" si="3"/>
        <v>160</v>
      </c>
      <c r="P63" s="636">
        <f t="shared" si="3"/>
        <v>0</v>
      </c>
      <c r="Q63" s="52"/>
    </row>
    <row r="64" spans="1:17">
      <c r="A64" s="63">
        <v>2006</v>
      </c>
      <c r="B64" s="56" t="s">
        <v>25</v>
      </c>
      <c r="C64" s="304">
        <f t="shared" ref="C64:P64" si="4">C7</f>
        <v>43466</v>
      </c>
      <c r="D64" s="304">
        <f t="shared" si="4"/>
        <v>43466</v>
      </c>
      <c r="E64" s="304">
        <f t="shared" si="4"/>
        <v>43473</v>
      </c>
      <c r="F64" s="304">
        <f t="shared" si="4"/>
        <v>43466</v>
      </c>
      <c r="G64" s="304">
        <f t="shared" si="4"/>
        <v>43466</v>
      </c>
      <c r="H64" s="304">
        <f t="shared" si="4"/>
        <v>43466</v>
      </c>
      <c r="I64" s="304">
        <f t="shared" si="4"/>
        <v>43466</v>
      </c>
      <c r="J64" s="304">
        <f t="shared" si="4"/>
        <v>43483</v>
      </c>
      <c r="K64" s="304">
        <f t="shared" si="4"/>
        <v>43494</v>
      </c>
      <c r="L64" s="304">
        <f t="shared" si="4"/>
        <v>43466</v>
      </c>
      <c r="M64" s="304">
        <f t="shared" si="4"/>
        <v>43466</v>
      </c>
      <c r="N64" s="304">
        <f t="shared" si="4"/>
        <v>43466</v>
      </c>
      <c r="O64" s="304">
        <f t="shared" si="4"/>
        <v>43466</v>
      </c>
      <c r="P64" s="304">
        <f t="shared" si="4"/>
        <v>43466</v>
      </c>
      <c r="Q64" s="52"/>
    </row>
    <row r="65" spans="1:18">
      <c r="A65" s="63">
        <v>2006</v>
      </c>
      <c r="B65" s="56" t="s">
        <v>26</v>
      </c>
      <c r="C65" s="304">
        <f>EOMONTH(C7,14)</f>
        <v>43921</v>
      </c>
      <c r="D65" s="304">
        <f t="shared" ref="D65:O65" si="5">EOMONTH(D7,14)</f>
        <v>43921</v>
      </c>
      <c r="E65" s="304">
        <f t="shared" si="5"/>
        <v>43921</v>
      </c>
      <c r="F65" s="304">
        <f t="shared" si="5"/>
        <v>43921</v>
      </c>
      <c r="G65" s="304">
        <f t="shared" si="5"/>
        <v>43921</v>
      </c>
      <c r="H65" s="304">
        <f t="shared" si="5"/>
        <v>43921</v>
      </c>
      <c r="I65" s="304">
        <f t="shared" si="5"/>
        <v>43921</v>
      </c>
      <c r="J65" s="304">
        <f t="shared" si="5"/>
        <v>43921</v>
      </c>
      <c r="K65" s="304">
        <f t="shared" si="5"/>
        <v>43921</v>
      </c>
      <c r="L65" s="304">
        <f t="shared" si="5"/>
        <v>43921</v>
      </c>
      <c r="M65" s="304">
        <f t="shared" si="5"/>
        <v>43921</v>
      </c>
      <c r="N65" s="304">
        <f t="shared" si="5"/>
        <v>43921</v>
      </c>
      <c r="O65" s="304">
        <f t="shared" si="5"/>
        <v>43921</v>
      </c>
      <c r="P65" s="304">
        <f>EOMONTH(P7,14)</f>
        <v>43921</v>
      </c>
      <c r="Q65" s="52"/>
    </row>
    <row r="66" spans="1:18">
      <c r="A66" s="63">
        <v>2006</v>
      </c>
      <c r="B66" s="57" t="s">
        <v>27</v>
      </c>
      <c r="C66" s="63">
        <v>60</v>
      </c>
      <c r="D66" s="63">
        <v>60</v>
      </c>
      <c r="E66" s="63">
        <v>60</v>
      </c>
      <c r="F66" s="63">
        <v>60</v>
      </c>
      <c r="G66" s="63">
        <v>60</v>
      </c>
      <c r="H66" s="63">
        <v>60</v>
      </c>
      <c r="I66" s="67">
        <v>60</v>
      </c>
      <c r="J66" s="67">
        <v>60</v>
      </c>
      <c r="K66" s="67">
        <v>60</v>
      </c>
      <c r="L66" s="67">
        <v>60</v>
      </c>
      <c r="M66" s="67">
        <v>60</v>
      </c>
      <c r="N66" s="67">
        <v>60</v>
      </c>
      <c r="O66" s="67">
        <v>60</v>
      </c>
      <c r="P66" s="67">
        <v>60</v>
      </c>
      <c r="Q66" s="52"/>
    </row>
    <row r="67" spans="1:18">
      <c r="A67" s="63">
        <v>2006</v>
      </c>
      <c r="B67" s="57" t="s">
        <v>640</v>
      </c>
      <c r="C67" s="636">
        <f t="shared" ref="C67:P67" si="6">IF(OR(C10="S",C10="C"),0,IF(OR(C10=1,C10=3),ROUND(10*8*(_xlfn.DAYS(EOMONTH(C7,11),C7)+1)/365,2),ROUND(10*C24/365*(_xlfn.DAYS(EOMONTH(C7,11),C7)+1),2)))</f>
        <v>80</v>
      </c>
      <c r="D67" s="636">
        <f t="shared" si="6"/>
        <v>72</v>
      </c>
      <c r="E67" s="636">
        <f t="shared" si="6"/>
        <v>78.47</v>
      </c>
      <c r="F67" s="636">
        <f t="shared" si="6"/>
        <v>80</v>
      </c>
      <c r="G67" s="636">
        <f t="shared" si="6"/>
        <v>64</v>
      </c>
      <c r="H67" s="636">
        <f t="shared" si="6"/>
        <v>0</v>
      </c>
      <c r="I67" s="636">
        <f t="shared" si="6"/>
        <v>40</v>
      </c>
      <c r="J67" s="636">
        <f t="shared" si="6"/>
        <v>0</v>
      </c>
      <c r="K67" s="636">
        <f t="shared" si="6"/>
        <v>44.32</v>
      </c>
      <c r="L67" s="636">
        <f t="shared" si="6"/>
        <v>80</v>
      </c>
      <c r="M67" s="636">
        <f t="shared" si="6"/>
        <v>80</v>
      </c>
      <c r="N67" s="636">
        <f t="shared" si="6"/>
        <v>80</v>
      </c>
      <c r="O67" s="636">
        <f t="shared" si="6"/>
        <v>80</v>
      </c>
      <c r="P67" s="636">
        <f t="shared" si="6"/>
        <v>0</v>
      </c>
      <c r="Q67" s="52"/>
    </row>
    <row r="68" spans="1:18">
      <c r="A68" s="63">
        <v>2006</v>
      </c>
      <c r="B68" s="56" t="s">
        <v>28</v>
      </c>
      <c r="C68" s="304">
        <f t="shared" ref="C68:P68" si="7">C7</f>
        <v>43466</v>
      </c>
      <c r="D68" s="304">
        <f t="shared" si="7"/>
        <v>43466</v>
      </c>
      <c r="E68" s="304">
        <f t="shared" si="7"/>
        <v>43473</v>
      </c>
      <c r="F68" s="304">
        <f t="shared" si="7"/>
        <v>43466</v>
      </c>
      <c r="G68" s="304">
        <f t="shared" si="7"/>
        <v>43466</v>
      </c>
      <c r="H68" s="304">
        <f t="shared" si="7"/>
        <v>43466</v>
      </c>
      <c r="I68" s="304">
        <f t="shared" si="7"/>
        <v>43466</v>
      </c>
      <c r="J68" s="304">
        <f t="shared" si="7"/>
        <v>43483</v>
      </c>
      <c r="K68" s="304">
        <f t="shared" si="7"/>
        <v>43494</v>
      </c>
      <c r="L68" s="304">
        <f t="shared" si="7"/>
        <v>43466</v>
      </c>
      <c r="M68" s="304">
        <f t="shared" si="7"/>
        <v>43466</v>
      </c>
      <c r="N68" s="304">
        <f t="shared" si="7"/>
        <v>43466</v>
      </c>
      <c r="O68" s="304">
        <f t="shared" si="7"/>
        <v>43466</v>
      </c>
      <c r="P68" s="304">
        <f t="shared" si="7"/>
        <v>43466</v>
      </c>
      <c r="Q68" s="52"/>
    </row>
    <row r="69" spans="1:18">
      <c r="A69" s="63">
        <v>2006</v>
      </c>
      <c r="B69" s="56" t="s">
        <v>29</v>
      </c>
      <c r="C69" s="304">
        <f>EOMONTH(C7,11)</f>
        <v>43830</v>
      </c>
      <c r="D69" s="304">
        <f t="shared" ref="D69:P69" si="8">EOMONTH(D7,11)</f>
        <v>43830</v>
      </c>
      <c r="E69" s="304">
        <f t="shared" si="8"/>
        <v>43830</v>
      </c>
      <c r="F69" s="304">
        <f t="shared" si="8"/>
        <v>43830</v>
      </c>
      <c r="G69" s="304">
        <f t="shared" si="8"/>
        <v>43830</v>
      </c>
      <c r="H69" s="304">
        <f t="shared" si="8"/>
        <v>43830</v>
      </c>
      <c r="I69" s="304">
        <f t="shared" si="8"/>
        <v>43830</v>
      </c>
      <c r="J69" s="304">
        <f t="shared" si="8"/>
        <v>43830</v>
      </c>
      <c r="K69" s="304">
        <f t="shared" si="8"/>
        <v>43830</v>
      </c>
      <c r="L69" s="304">
        <f t="shared" si="8"/>
        <v>43830</v>
      </c>
      <c r="M69" s="304">
        <f t="shared" si="8"/>
        <v>43830</v>
      </c>
      <c r="N69" s="304">
        <f t="shared" si="8"/>
        <v>43830</v>
      </c>
      <c r="O69" s="304">
        <f t="shared" si="8"/>
        <v>43830</v>
      </c>
      <c r="P69" s="304">
        <f t="shared" si="8"/>
        <v>43830</v>
      </c>
      <c r="Q69" s="52"/>
    </row>
    <row r="70" spans="1:18">
      <c r="A70" s="63">
        <v>2006</v>
      </c>
      <c r="B70" s="57" t="s">
        <v>30</v>
      </c>
      <c r="C70" s="63">
        <v>71</v>
      </c>
      <c r="D70" s="63">
        <v>71</v>
      </c>
      <c r="E70" s="72">
        <v>71</v>
      </c>
      <c r="F70" s="71" t="s">
        <v>421</v>
      </c>
      <c r="G70" s="67">
        <v>71</v>
      </c>
      <c r="H70" s="67">
        <v>71</v>
      </c>
      <c r="I70" s="67">
        <v>71</v>
      </c>
      <c r="J70" s="67">
        <v>71</v>
      </c>
      <c r="K70" s="67">
        <v>71</v>
      </c>
      <c r="L70" s="67">
        <v>71</v>
      </c>
      <c r="M70" s="67">
        <v>71</v>
      </c>
      <c r="N70" s="67">
        <v>71</v>
      </c>
      <c r="O70" s="67">
        <v>71</v>
      </c>
      <c r="P70" s="67">
        <v>71</v>
      </c>
      <c r="Q70" s="52"/>
    </row>
    <row r="71" spans="1:18">
      <c r="A71" s="63">
        <v>2006</v>
      </c>
      <c r="B71" s="57" t="s">
        <v>1441</v>
      </c>
      <c r="C71" s="63"/>
      <c r="D71" s="63">
        <v>162</v>
      </c>
      <c r="E71" s="72"/>
      <c r="F71" s="213"/>
      <c r="G71" s="67">
        <f>25*0.8*8</f>
        <v>160</v>
      </c>
      <c r="H71" s="67"/>
      <c r="I71" s="67"/>
      <c r="J71" s="67"/>
      <c r="K71" s="67"/>
      <c r="L71" s="67"/>
      <c r="M71" s="67"/>
      <c r="N71" s="67"/>
      <c r="O71" s="67"/>
      <c r="P71" s="67"/>
      <c r="Q71" s="52"/>
    </row>
    <row r="72" spans="1:18">
      <c r="A72" s="63">
        <v>2006</v>
      </c>
      <c r="B72" s="56" t="s">
        <v>31</v>
      </c>
      <c r="C72" s="4"/>
      <c r="D72" s="304" t="s">
        <v>1443</v>
      </c>
      <c r="E72" s="304"/>
      <c r="F72" s="304"/>
      <c r="G72" s="304">
        <v>43709</v>
      </c>
      <c r="H72" s="304"/>
      <c r="I72" s="304"/>
      <c r="J72" s="304"/>
      <c r="K72" s="304"/>
      <c r="L72" s="304"/>
      <c r="M72" s="304"/>
      <c r="N72" s="304"/>
      <c r="O72" s="304"/>
      <c r="P72" s="304"/>
      <c r="Q72" s="52"/>
    </row>
    <row r="73" spans="1:18">
      <c r="A73" s="63">
        <v>2006</v>
      </c>
      <c r="B73" s="56" t="s">
        <v>32</v>
      </c>
      <c r="C73" s="4"/>
      <c r="D73" s="304">
        <v>2958465</v>
      </c>
      <c r="E73" s="304"/>
      <c r="F73" s="304"/>
      <c r="G73" s="304">
        <v>2958465</v>
      </c>
      <c r="H73" s="304"/>
      <c r="I73" s="304"/>
      <c r="J73" s="304"/>
      <c r="K73" s="304"/>
      <c r="L73" s="304"/>
      <c r="M73" s="304"/>
      <c r="N73" s="304"/>
      <c r="O73" s="304"/>
      <c r="P73" s="304"/>
      <c r="Q73" s="460"/>
    </row>
    <row r="74" spans="1:18">
      <c r="A74" s="63">
        <v>2006</v>
      </c>
      <c r="B74" s="57" t="s">
        <v>776</v>
      </c>
      <c r="C74" s="63">
        <v>72</v>
      </c>
      <c r="D74" s="63">
        <v>72</v>
      </c>
      <c r="E74" s="63">
        <v>72</v>
      </c>
      <c r="F74" s="63">
        <v>72</v>
      </c>
      <c r="G74" s="63">
        <v>72</v>
      </c>
      <c r="H74" s="63">
        <v>72</v>
      </c>
      <c r="I74" s="63">
        <v>72</v>
      </c>
      <c r="J74" s="63">
        <v>72</v>
      </c>
      <c r="K74" s="63">
        <v>72</v>
      </c>
      <c r="L74" s="63">
        <v>72</v>
      </c>
      <c r="M74" s="63">
        <v>72</v>
      </c>
      <c r="N74" s="63">
        <v>72</v>
      </c>
      <c r="O74" s="63">
        <v>72</v>
      </c>
      <c r="P74" s="67"/>
      <c r="Q74" s="52"/>
    </row>
    <row r="75" spans="1:18">
      <c r="A75" s="63">
        <v>2006</v>
      </c>
      <c r="B75" s="57" t="s">
        <v>1442</v>
      </c>
      <c r="C75" s="63">
        <f>ROUND(1*(1826-18)/365*8,2)</f>
        <v>39.630000000000003</v>
      </c>
      <c r="D75" s="63"/>
      <c r="E75" s="63"/>
      <c r="F75" s="63"/>
      <c r="G75" s="63"/>
      <c r="H75" s="63"/>
      <c r="I75" s="63">
        <f>ROUND(1*1826/365*0.5*8,2)</f>
        <v>20.010000000000002</v>
      </c>
      <c r="J75" s="63"/>
      <c r="K75" s="63"/>
      <c r="L75" s="63">
        <v>40</v>
      </c>
      <c r="M75" s="63">
        <f>ROUND((1826-365)/365*8,2)+ROUND(365/365*0.5*8,2)</f>
        <v>36.020000000000003</v>
      </c>
      <c r="N75" s="63"/>
      <c r="O75" s="63"/>
      <c r="P75" s="67"/>
      <c r="Q75" s="52"/>
    </row>
    <row r="76" spans="1:18">
      <c r="A76" s="63">
        <v>2006</v>
      </c>
      <c r="B76" s="56" t="s">
        <v>777</v>
      </c>
      <c r="C76" s="304">
        <v>43709</v>
      </c>
      <c r="D76" s="304"/>
      <c r="E76" s="304"/>
      <c r="F76" s="304"/>
      <c r="G76" s="304"/>
      <c r="H76" s="304"/>
      <c r="I76" s="304">
        <v>43709</v>
      </c>
      <c r="J76" s="304"/>
      <c r="K76" s="304"/>
      <c r="L76" s="304">
        <v>43723</v>
      </c>
      <c r="M76" s="304">
        <v>43722</v>
      </c>
      <c r="N76" s="304"/>
      <c r="O76" s="304"/>
      <c r="P76" s="304"/>
      <c r="Q76" s="52"/>
    </row>
    <row r="77" spans="1:18">
      <c r="A77" s="63">
        <v>2006</v>
      </c>
      <c r="B77" s="56" t="s">
        <v>778</v>
      </c>
      <c r="C77" s="304">
        <v>44074</v>
      </c>
      <c r="D77" s="304"/>
      <c r="E77" s="304"/>
      <c r="F77" s="304"/>
      <c r="G77" s="304"/>
      <c r="H77" s="304"/>
      <c r="I77" s="304">
        <v>44074</v>
      </c>
      <c r="J77" s="304"/>
      <c r="K77" s="304"/>
      <c r="L77" s="304">
        <v>44088</v>
      </c>
      <c r="M77" s="304">
        <v>44087</v>
      </c>
      <c r="N77" s="304"/>
      <c r="O77" s="304"/>
      <c r="P77" s="304"/>
      <c r="Q77" s="463"/>
    </row>
    <row r="78" spans="1:18">
      <c r="A78" s="208">
        <v>2012</v>
      </c>
      <c r="B78" s="3" t="s">
        <v>1436</v>
      </c>
      <c r="D78" s="3">
        <v>1</v>
      </c>
      <c r="G78" s="4">
        <v>1</v>
      </c>
      <c r="Q78" s="463">
        <v>41896</v>
      </c>
    </row>
    <row r="79" spans="1:18">
      <c r="A79" s="208">
        <v>2012</v>
      </c>
      <c r="B79" s="3" t="s">
        <v>1440</v>
      </c>
      <c r="C79" s="3">
        <v>1</v>
      </c>
      <c r="I79" s="4">
        <v>1</v>
      </c>
      <c r="L79" s="4">
        <v>1</v>
      </c>
      <c r="M79" s="4">
        <v>2</v>
      </c>
      <c r="Q79" s="463">
        <v>43465</v>
      </c>
    </row>
    <row r="80" spans="1:18">
      <c r="A80" s="208">
        <v>2012</v>
      </c>
      <c r="B80" s="3" t="s">
        <v>662</v>
      </c>
      <c r="C80" s="523">
        <v>1583</v>
      </c>
      <c r="D80" s="523"/>
      <c r="E80" s="523"/>
      <c r="F80" s="523"/>
      <c r="G80" s="523"/>
      <c r="H80" s="523"/>
      <c r="I80" s="523">
        <v>1583</v>
      </c>
      <c r="J80" s="523"/>
      <c r="K80" s="523"/>
      <c r="L80" s="523">
        <v>1569</v>
      </c>
      <c r="M80" s="523">
        <v>1570</v>
      </c>
      <c r="N80" s="3"/>
      <c r="O80" s="3"/>
      <c r="P80" s="3"/>
      <c r="Q80" s="464">
        <f>_xlfn.DAYS(Q79,Q78)+1</f>
        <v>1570</v>
      </c>
      <c r="R80" s="4">
        <f>Q80-365</f>
        <v>1205</v>
      </c>
    </row>
    <row r="81" spans="1:18">
      <c r="A81" s="208">
        <v>2012</v>
      </c>
      <c r="B81" s="3" t="s">
        <v>651</v>
      </c>
      <c r="C81" s="523">
        <v>1583</v>
      </c>
      <c r="D81" s="523"/>
      <c r="E81" s="523"/>
      <c r="F81" s="523"/>
      <c r="G81" s="523"/>
      <c r="H81" s="523"/>
      <c r="I81" s="523">
        <v>1583</v>
      </c>
      <c r="J81" s="523"/>
      <c r="K81" s="523"/>
      <c r="L81" s="523">
        <v>1569</v>
      </c>
      <c r="M81" s="523">
        <v>1205</v>
      </c>
      <c r="N81" s="523"/>
      <c r="O81" s="523"/>
      <c r="P81" s="523"/>
      <c r="Q81" s="463">
        <v>40057</v>
      </c>
    </row>
    <row r="82" spans="1:18">
      <c r="A82" s="208">
        <v>2012</v>
      </c>
      <c r="B82" s="3" t="s">
        <v>652</v>
      </c>
      <c r="C82" s="3">
        <v>18</v>
      </c>
      <c r="E82" s="3"/>
      <c r="F82" s="3"/>
      <c r="G82" s="3"/>
      <c r="H82" s="3"/>
      <c r="I82" s="3">
        <v>0</v>
      </c>
      <c r="J82" s="3"/>
      <c r="K82" s="3"/>
      <c r="L82" s="3">
        <v>0</v>
      </c>
      <c r="M82" s="3">
        <v>0</v>
      </c>
      <c r="N82" s="3"/>
      <c r="O82" s="3"/>
      <c r="P82" s="3"/>
      <c r="Q82" s="463">
        <v>43708</v>
      </c>
    </row>
    <row r="83" spans="1:18">
      <c r="A83" s="208">
        <v>2012</v>
      </c>
      <c r="B83" s="3" t="s">
        <v>653</v>
      </c>
      <c r="C83" s="3">
        <v>100</v>
      </c>
      <c r="E83" s="3"/>
      <c r="F83" s="3"/>
      <c r="G83" s="3"/>
      <c r="H83" s="3"/>
      <c r="I83" s="3">
        <v>50</v>
      </c>
      <c r="J83" s="3"/>
      <c r="K83" s="3"/>
      <c r="L83" s="3">
        <v>100</v>
      </c>
      <c r="M83" s="3">
        <v>100</v>
      </c>
      <c r="N83" s="3"/>
      <c r="O83" s="3"/>
      <c r="P83" s="3"/>
      <c r="Q83" s="464">
        <f>_xlfn.DAYS(Q82,Q81)+1</f>
        <v>3652</v>
      </c>
      <c r="R83" s="464">
        <f>_xlfn.DAYS(Q82,Q78)+1</f>
        <v>1813</v>
      </c>
    </row>
    <row r="84" spans="1:18">
      <c r="A84" s="208">
        <v>2012</v>
      </c>
      <c r="B84" s="3" t="s">
        <v>654</v>
      </c>
      <c r="C84" s="523"/>
      <c r="D84" s="523"/>
      <c r="E84" s="523"/>
      <c r="F84" s="523"/>
      <c r="G84" s="523"/>
      <c r="H84" s="523"/>
      <c r="I84" s="523"/>
      <c r="J84" s="523"/>
      <c r="K84" s="523"/>
      <c r="L84" s="523"/>
      <c r="M84" s="523">
        <v>365</v>
      </c>
      <c r="N84" s="523"/>
      <c r="O84" s="523"/>
      <c r="P84" s="523"/>
    </row>
    <row r="85" spans="1:18">
      <c r="A85" s="208">
        <v>2012</v>
      </c>
      <c r="B85" s="3" t="s">
        <v>655</v>
      </c>
      <c r="E85" s="3"/>
      <c r="F85" s="3"/>
      <c r="G85" s="3"/>
      <c r="H85" s="3"/>
      <c r="I85" s="3"/>
      <c r="J85" s="3"/>
      <c r="K85" s="3"/>
      <c r="L85" s="3"/>
      <c r="M85" s="3">
        <v>0</v>
      </c>
      <c r="N85" s="3"/>
      <c r="O85" s="3"/>
      <c r="P85" s="3"/>
    </row>
    <row r="86" spans="1:18">
      <c r="A86" s="208">
        <v>2012</v>
      </c>
      <c r="B86" s="3" t="s">
        <v>656</v>
      </c>
      <c r="E86" s="3"/>
      <c r="F86" s="3"/>
      <c r="G86" s="3"/>
      <c r="H86" s="3"/>
      <c r="I86" s="3"/>
      <c r="J86" s="3"/>
      <c r="K86" s="3"/>
      <c r="L86" s="3"/>
      <c r="M86" s="3">
        <v>50</v>
      </c>
      <c r="N86" s="3"/>
      <c r="O86" s="3"/>
      <c r="P86" s="3"/>
    </row>
    <row r="87" spans="1:18">
      <c r="A87" s="208">
        <v>2012</v>
      </c>
      <c r="B87" s="3" t="s">
        <v>788</v>
      </c>
      <c r="C87" s="523"/>
      <c r="D87" s="523"/>
      <c r="E87" s="523"/>
      <c r="F87" s="523"/>
      <c r="G87" s="523"/>
      <c r="H87" s="523"/>
      <c r="I87" s="523"/>
      <c r="J87" s="523"/>
      <c r="K87" s="523"/>
      <c r="L87" s="523"/>
      <c r="M87" s="523"/>
      <c r="N87" s="523"/>
      <c r="O87" s="523"/>
      <c r="P87" s="523"/>
    </row>
    <row r="88" spans="1:18">
      <c r="A88" s="208">
        <v>2012</v>
      </c>
      <c r="B88" s="3" t="s">
        <v>789</v>
      </c>
      <c r="E88" s="3"/>
      <c r="F88" s="3"/>
      <c r="G88" s="3"/>
      <c r="H88" s="3"/>
      <c r="I88" s="3"/>
      <c r="J88" s="3"/>
      <c r="K88" s="3"/>
      <c r="L88" s="3"/>
      <c r="M88" s="3"/>
      <c r="N88" s="3"/>
      <c r="O88" s="3"/>
      <c r="P88" s="3"/>
    </row>
    <row r="89" spans="1:18">
      <c r="A89" s="208">
        <v>2012</v>
      </c>
      <c r="B89" s="3" t="s">
        <v>790</v>
      </c>
      <c r="E89" s="3"/>
      <c r="F89" s="3"/>
      <c r="G89" s="3"/>
      <c r="H89" s="3"/>
      <c r="I89" s="3"/>
      <c r="J89" s="3"/>
      <c r="K89" s="3"/>
      <c r="L89" s="3"/>
      <c r="M89" s="3"/>
      <c r="N89" s="3"/>
      <c r="O89" s="3"/>
      <c r="P89" s="3"/>
    </row>
    <row r="91" spans="1:18" ht="36.6" customHeight="1">
      <c r="A91" s="746" t="s">
        <v>878</v>
      </c>
      <c r="B91" s="746"/>
      <c r="C91" s="746"/>
      <c r="D91" s="746"/>
      <c r="E91" s="746"/>
      <c r="F91" s="746"/>
      <c r="G91" s="746"/>
      <c r="H91" s="746"/>
      <c r="I91" s="746"/>
      <c r="J91" s="746"/>
      <c r="K91" s="746"/>
      <c r="L91" s="746"/>
      <c r="M91" s="746"/>
      <c r="N91" s="746"/>
      <c r="O91" s="746"/>
      <c r="P91" s="746"/>
    </row>
    <row r="92" spans="1:18">
      <c r="A92" s="107" t="s">
        <v>33</v>
      </c>
      <c r="B92" s="108" t="s">
        <v>7</v>
      </c>
      <c r="C92" s="107" t="s">
        <v>34</v>
      </c>
      <c r="D92" s="107"/>
      <c r="E92" s="107" t="s">
        <v>36</v>
      </c>
      <c r="F92" s="107"/>
      <c r="G92" s="107" t="s">
        <v>38</v>
      </c>
      <c r="H92" s="107" t="s">
        <v>39</v>
      </c>
      <c r="I92" s="107"/>
      <c r="J92" s="107" t="s">
        <v>41</v>
      </c>
      <c r="K92" s="107" t="s">
        <v>42</v>
      </c>
      <c r="L92" s="107" t="s">
        <v>43</v>
      </c>
      <c r="M92" s="107" t="s">
        <v>44</v>
      </c>
      <c r="N92" s="107" t="s">
        <v>45</v>
      </c>
      <c r="O92" s="107"/>
      <c r="P92" s="107" t="s">
        <v>47</v>
      </c>
    </row>
    <row r="93" spans="1:18">
      <c r="A93" s="63" t="s">
        <v>86</v>
      </c>
      <c r="B93" s="207" t="s">
        <v>79</v>
      </c>
      <c r="C93" s="292">
        <v>91999901</v>
      </c>
      <c r="D93" s="291"/>
      <c r="E93" s="291">
        <v>91999903</v>
      </c>
      <c r="F93" s="292"/>
      <c r="G93" s="291">
        <v>91999905</v>
      </c>
      <c r="H93" s="293">
        <v>91999906</v>
      </c>
      <c r="I93" s="291"/>
      <c r="J93" s="291">
        <v>91999908</v>
      </c>
      <c r="K93" s="472">
        <v>91999909</v>
      </c>
      <c r="L93" s="291">
        <v>91999910</v>
      </c>
      <c r="M93" s="291">
        <v>91999911</v>
      </c>
      <c r="N93" s="292">
        <v>91999912</v>
      </c>
      <c r="O93" s="292"/>
      <c r="P93" s="293">
        <v>91999914</v>
      </c>
    </row>
    <row r="94" spans="1:18">
      <c r="A94" s="63" t="s">
        <v>86</v>
      </c>
      <c r="B94" s="207" t="s">
        <v>69</v>
      </c>
      <c r="C94" s="294">
        <v>43831</v>
      </c>
      <c r="D94" s="294"/>
      <c r="E94" s="294">
        <v>43739</v>
      </c>
      <c r="F94" s="294"/>
      <c r="G94" s="294">
        <v>43831</v>
      </c>
      <c r="H94" s="294">
        <v>43831</v>
      </c>
      <c r="I94" s="294"/>
      <c r="J94" s="294">
        <v>43831</v>
      </c>
      <c r="K94" s="294">
        <v>43831</v>
      </c>
      <c r="L94" s="294">
        <v>43831</v>
      </c>
      <c r="M94" s="294">
        <v>43831</v>
      </c>
      <c r="N94" s="294">
        <v>43831</v>
      </c>
      <c r="O94" s="294"/>
      <c r="P94" s="294">
        <v>43831</v>
      </c>
    </row>
    <row r="95" spans="1:18">
      <c r="A95" s="63" t="s">
        <v>83</v>
      </c>
      <c r="B95" s="55" t="s">
        <v>3</v>
      </c>
      <c r="C95" s="290">
        <v>1</v>
      </c>
      <c r="D95" s="290"/>
      <c r="E95" s="300" t="s">
        <v>412</v>
      </c>
      <c r="F95" s="301"/>
      <c r="G95" s="289">
        <v>4</v>
      </c>
      <c r="H95" s="289" t="s">
        <v>416</v>
      </c>
      <c r="I95" s="289"/>
      <c r="J95" s="289" t="s">
        <v>418</v>
      </c>
      <c r="K95" s="289" t="s">
        <v>620</v>
      </c>
      <c r="L95" s="289">
        <v>1</v>
      </c>
      <c r="M95" s="289">
        <v>1</v>
      </c>
      <c r="N95" s="289">
        <v>3</v>
      </c>
      <c r="O95" s="289"/>
      <c r="P95" s="289" t="s">
        <v>416</v>
      </c>
    </row>
    <row r="96" spans="1:18">
      <c r="A96" s="307" t="s">
        <v>49</v>
      </c>
      <c r="B96" s="309" t="s">
        <v>17</v>
      </c>
      <c r="C96" s="288" t="s">
        <v>429</v>
      </c>
      <c r="D96" s="288"/>
      <c r="E96" s="288" t="s">
        <v>429</v>
      </c>
      <c r="F96" s="288"/>
      <c r="G96" s="289" t="s">
        <v>637</v>
      </c>
      <c r="H96" s="288" t="s">
        <v>427</v>
      </c>
      <c r="I96" s="288"/>
      <c r="J96" s="289" t="s">
        <v>638</v>
      </c>
      <c r="K96" s="289" t="s">
        <v>639</v>
      </c>
      <c r="L96" s="288" t="s">
        <v>429</v>
      </c>
      <c r="M96" s="288" t="s">
        <v>429</v>
      </c>
      <c r="N96" s="288" t="s">
        <v>429</v>
      </c>
      <c r="O96" s="288"/>
      <c r="P96" s="288" t="s">
        <v>427</v>
      </c>
    </row>
    <row r="97" spans="1:16">
      <c r="A97" s="307" t="s">
        <v>49</v>
      </c>
      <c r="B97" s="309" t="s">
        <v>636</v>
      </c>
      <c r="C97" s="288">
        <v>8</v>
      </c>
      <c r="D97" s="288"/>
      <c r="E97" s="288">
        <v>8</v>
      </c>
      <c r="F97" s="288"/>
      <c r="G97" s="289">
        <v>6.4</v>
      </c>
      <c r="H97" s="288">
        <v>0</v>
      </c>
      <c r="I97" s="288"/>
      <c r="J97" s="289">
        <v>6</v>
      </c>
      <c r="K97" s="289">
        <v>4.8</v>
      </c>
      <c r="L97" s="288">
        <v>8</v>
      </c>
      <c r="M97" s="288">
        <v>8</v>
      </c>
      <c r="N97" s="288">
        <v>8</v>
      </c>
      <c r="O97" s="288"/>
      <c r="P97" s="288">
        <v>0</v>
      </c>
    </row>
    <row r="98" spans="1:16">
      <c r="A98" s="63" t="s">
        <v>85</v>
      </c>
      <c r="B98" s="58" t="s">
        <v>437</v>
      </c>
      <c r="C98" s="302"/>
      <c r="D98" s="302"/>
      <c r="E98" s="74" t="s">
        <v>444</v>
      </c>
      <c r="F98" s="73"/>
      <c r="G98" s="303"/>
      <c r="H98" s="303"/>
      <c r="I98" s="303"/>
      <c r="J98" s="303"/>
      <c r="K98" s="303" t="s">
        <v>444</v>
      </c>
      <c r="L98" s="303"/>
      <c r="M98" s="303"/>
      <c r="N98" s="303"/>
      <c r="O98" s="303"/>
      <c r="P98" s="303"/>
    </row>
    <row r="99" spans="1:16">
      <c r="A99" s="63" t="s">
        <v>85</v>
      </c>
      <c r="B99" s="59" t="s">
        <v>438</v>
      </c>
      <c r="C99" s="304"/>
      <c r="D99" s="304"/>
      <c r="E99" s="304">
        <v>43951</v>
      </c>
      <c r="F99" s="304"/>
      <c r="G99" s="304"/>
      <c r="H99" s="304"/>
      <c r="I99" s="304"/>
      <c r="J99" s="304"/>
      <c r="K99" s="304">
        <v>44224</v>
      </c>
      <c r="L99" s="304"/>
      <c r="M99" s="304"/>
      <c r="N99" s="304"/>
      <c r="O99" s="304"/>
      <c r="P99" s="304"/>
    </row>
    <row r="100" spans="1:16">
      <c r="A100" s="63">
        <v>2006</v>
      </c>
      <c r="B100" s="57" t="s">
        <v>24</v>
      </c>
      <c r="C100" s="63">
        <v>50</v>
      </c>
      <c r="D100" s="63"/>
      <c r="E100" s="63">
        <v>50</v>
      </c>
      <c r="F100" s="63"/>
      <c r="G100" s="63">
        <v>50</v>
      </c>
      <c r="H100" s="63">
        <v>50</v>
      </c>
      <c r="I100" s="67"/>
      <c r="J100" s="67">
        <v>50</v>
      </c>
      <c r="K100" s="67">
        <v>50</v>
      </c>
      <c r="L100" s="67">
        <v>50</v>
      </c>
      <c r="M100" s="67">
        <v>50</v>
      </c>
      <c r="N100" s="67">
        <v>50</v>
      </c>
      <c r="O100" s="67"/>
      <c r="P100" s="67">
        <v>50</v>
      </c>
    </row>
    <row r="101" spans="1:16">
      <c r="A101" s="63">
        <v>2006</v>
      </c>
      <c r="B101" s="57" t="s">
        <v>635</v>
      </c>
      <c r="C101" s="63">
        <f>IF(OR(C95="S",C95="C"),0,IF(OR(C95=1,C95=3),ROUND(20*8*(_xlfn.DAYS(EOMONTH(C94,11),C94)+1)/366,0),ROUND(20*C97/366*(_xlfn.DAYS(EOMONTH(C94,11),C94)+1),0)))</f>
        <v>160</v>
      </c>
      <c r="D101" s="63"/>
      <c r="E101" s="63">
        <f>IF(OR(E95="S",E95="C"),0,IF(OR(E95=1,E95=3),ROUND(20*8*(_xlfn.DAYS(EOMONTH(E94,11),E94)+1)/366,0),ROUND(20*E97/366*(_xlfn.DAYS(EOMONTH(E94,11),E94)+1),0)))</f>
        <v>160</v>
      </c>
      <c r="F101" s="63"/>
      <c r="G101" s="63">
        <f t="shared" ref="G101:P101" si="9">IF(OR(G95="S",G95="C"),0,IF(OR(G95=1,G95=3),ROUND(20*8*(_xlfn.DAYS(EOMONTH(G94,11),G94)+1)/366,0),ROUND(20*G97/366*(_xlfn.DAYS(EOMONTH(G94,11),G94)+1),0)))</f>
        <v>128</v>
      </c>
      <c r="H101" s="63">
        <f t="shared" si="9"/>
        <v>0</v>
      </c>
      <c r="I101" s="63"/>
      <c r="J101" s="63">
        <f t="shared" si="9"/>
        <v>0</v>
      </c>
      <c r="K101" s="63">
        <f t="shared" si="9"/>
        <v>96</v>
      </c>
      <c r="L101" s="63">
        <f t="shared" si="9"/>
        <v>160</v>
      </c>
      <c r="M101" s="63">
        <f t="shared" si="9"/>
        <v>160</v>
      </c>
      <c r="N101" s="63">
        <f t="shared" si="9"/>
        <v>160</v>
      </c>
      <c r="O101" s="63"/>
      <c r="P101" s="63">
        <f t="shared" si="9"/>
        <v>0</v>
      </c>
    </row>
    <row r="102" spans="1:16">
      <c r="A102" s="63">
        <v>2006</v>
      </c>
      <c r="B102" s="56" t="s">
        <v>25</v>
      </c>
      <c r="C102" s="304">
        <v>43831</v>
      </c>
      <c r="D102" s="304"/>
      <c r="E102" s="304">
        <v>43831</v>
      </c>
      <c r="F102" s="304"/>
      <c r="G102" s="304">
        <v>43831</v>
      </c>
      <c r="H102" s="304">
        <v>43831</v>
      </c>
      <c r="I102" s="304"/>
      <c r="J102" s="304">
        <v>43831</v>
      </c>
      <c r="K102" s="304">
        <v>43831</v>
      </c>
      <c r="L102" s="304">
        <v>43831</v>
      </c>
      <c r="M102" s="304">
        <v>43831</v>
      </c>
      <c r="N102" s="304">
        <v>43831</v>
      </c>
      <c r="O102" s="304"/>
      <c r="P102" s="304">
        <v>43831</v>
      </c>
    </row>
    <row r="103" spans="1:16">
      <c r="A103" s="63">
        <v>2006</v>
      </c>
      <c r="B103" s="56" t="s">
        <v>26</v>
      </c>
      <c r="C103" s="304">
        <v>44256</v>
      </c>
      <c r="D103" s="304"/>
      <c r="E103" s="304">
        <v>44256</v>
      </c>
      <c r="F103" s="304"/>
      <c r="G103" s="304">
        <v>44256</v>
      </c>
      <c r="H103" s="304">
        <v>44256</v>
      </c>
      <c r="I103" s="304"/>
      <c r="J103" s="304">
        <v>44256</v>
      </c>
      <c r="K103" s="304">
        <v>44256</v>
      </c>
      <c r="L103" s="304">
        <v>44256</v>
      </c>
      <c r="M103" s="304">
        <v>44256</v>
      </c>
      <c r="N103" s="304">
        <v>44256</v>
      </c>
      <c r="O103" s="304"/>
      <c r="P103" s="304">
        <v>44256</v>
      </c>
    </row>
    <row r="104" spans="1:16">
      <c r="A104" s="63">
        <v>2006</v>
      </c>
      <c r="B104" s="57" t="s">
        <v>27</v>
      </c>
      <c r="C104" s="63">
        <v>60</v>
      </c>
      <c r="D104" s="63"/>
      <c r="E104" s="63">
        <v>60</v>
      </c>
      <c r="F104" s="63"/>
      <c r="G104" s="63">
        <v>60</v>
      </c>
      <c r="H104" s="63">
        <v>60</v>
      </c>
      <c r="I104" s="67"/>
      <c r="J104" s="67">
        <v>60</v>
      </c>
      <c r="K104" s="67">
        <v>60</v>
      </c>
      <c r="L104" s="67">
        <v>60</v>
      </c>
      <c r="M104" s="67">
        <v>60</v>
      </c>
      <c r="N104" s="67">
        <v>60</v>
      </c>
      <c r="O104" s="67"/>
      <c r="P104" s="67">
        <v>60</v>
      </c>
    </row>
    <row r="105" spans="1:16">
      <c r="A105" s="63">
        <v>2006</v>
      </c>
      <c r="B105" s="57" t="s">
        <v>640</v>
      </c>
      <c r="C105" s="63">
        <f>IF(OR(C95="S",C95="C"),0,IF(OR(C95=1,C95=3),ROUND(10*8*(_xlfn.DAYS(EOMONTH(C94,11),C94)+1)/366,0),ROUND(10*C97/366*(_xlfn.DAYS(EOMONTH(C94,11),C94)+1),0)))</f>
        <v>80</v>
      </c>
      <c r="D105" s="63"/>
      <c r="E105" s="63">
        <f>IF(OR(E95="S",E95="C"),0,IF(OR(E95=1,E95=3),ROUND(10*8*(_xlfn.DAYS(EOMONTH(E94,11),E94)+1)/366,0),ROUND(10*E97/366*(_xlfn.DAYS(EOMONTH(E94,11),E94)+1),0)))</f>
        <v>80</v>
      </c>
      <c r="F105" s="63"/>
      <c r="G105" s="63">
        <f t="shared" ref="G105:P105" si="10">IF(OR(G95="S",G95="C"),0,IF(OR(G95=1,G95=3),ROUND(10*8*(_xlfn.DAYS(EOMONTH(G94,11),G94)+1)/366,0),ROUND(10*G97/366*(_xlfn.DAYS(EOMONTH(G94,11),G94)+1),0)))</f>
        <v>64</v>
      </c>
      <c r="H105" s="63">
        <f t="shared" si="10"/>
        <v>0</v>
      </c>
      <c r="I105" s="63"/>
      <c r="J105" s="63">
        <f t="shared" si="10"/>
        <v>0</v>
      </c>
      <c r="K105" s="63">
        <f t="shared" si="10"/>
        <v>48</v>
      </c>
      <c r="L105" s="63">
        <f t="shared" si="10"/>
        <v>80</v>
      </c>
      <c r="M105" s="63">
        <f t="shared" si="10"/>
        <v>80</v>
      </c>
      <c r="N105" s="63">
        <f t="shared" si="10"/>
        <v>80</v>
      </c>
      <c r="O105" s="63"/>
      <c r="P105" s="63">
        <f t="shared" si="10"/>
        <v>0</v>
      </c>
    </row>
    <row r="106" spans="1:16">
      <c r="A106" s="63">
        <v>2006</v>
      </c>
      <c r="B106" s="56" t="s">
        <v>28</v>
      </c>
      <c r="C106" s="304">
        <v>43831</v>
      </c>
      <c r="D106" s="304"/>
      <c r="E106" s="304">
        <v>43831</v>
      </c>
      <c r="F106" s="304"/>
      <c r="G106" s="304">
        <v>43831</v>
      </c>
      <c r="H106" s="304">
        <v>43831</v>
      </c>
      <c r="I106" s="304"/>
      <c r="J106" s="304">
        <v>43831</v>
      </c>
      <c r="K106" s="304">
        <v>43831</v>
      </c>
      <c r="L106" s="304">
        <v>43831</v>
      </c>
      <c r="M106" s="304">
        <v>43831</v>
      </c>
      <c r="N106" s="304">
        <v>43831</v>
      </c>
      <c r="O106" s="304"/>
      <c r="P106" s="304">
        <v>43831</v>
      </c>
    </row>
    <row r="107" spans="1:16">
      <c r="A107" s="63">
        <v>2006</v>
      </c>
      <c r="B107" s="56" t="s">
        <v>29</v>
      </c>
      <c r="C107" s="304">
        <v>44196</v>
      </c>
      <c r="D107" s="304"/>
      <c r="E107" s="304">
        <v>44198</v>
      </c>
      <c r="F107" s="304"/>
      <c r="G107" s="304">
        <v>44200</v>
      </c>
      <c r="H107" s="304">
        <v>44201</v>
      </c>
      <c r="I107" s="304"/>
      <c r="J107" s="304">
        <v>44203</v>
      </c>
      <c r="K107" s="304">
        <v>44204</v>
      </c>
      <c r="L107" s="304">
        <v>44205</v>
      </c>
      <c r="M107" s="304">
        <v>44206</v>
      </c>
      <c r="N107" s="304">
        <v>44207</v>
      </c>
      <c r="O107" s="304"/>
      <c r="P107" s="304">
        <v>44209</v>
      </c>
    </row>
  </sheetData>
  <mergeCells count="1">
    <mergeCell ref="A91:P91"/>
  </mergeCells>
  <phoneticPr fontId="11" type="noConversion"/>
  <dataValidations count="1">
    <dataValidation allowBlank="1" showInputMessage="1" showErrorMessage="1" sqref="B47:B48 E47:F48 E72:F73 E70:E71 B100:B107 E76:F77 B53:B77" xr:uid="{00000000-0002-0000-0800-000000000000}"/>
  </dataValidations>
  <pageMargins left="0.15748031496062992" right="0.15748031496062992" top="0.59055118110236227" bottom="0.59055118110236227" header="0.51181102362204722" footer="0.51181102362204722"/>
  <pageSetup paperSize="9" scale="59" orientation="landscape" r:id="rId1"/>
  <headerFooter alignWithMargins="0"/>
  <ignoredErrors>
    <ignoredError sqref="A31:A32 A46:A47 A25 A28 A37:A39 A21:A23" numberStoredAsText="1"/>
  </ignoredError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7</vt:i4>
      </vt:variant>
    </vt:vector>
  </HeadingPairs>
  <TitlesOfParts>
    <vt:vector size="32" baseType="lpstr">
      <vt:lpstr>Version</vt:lpstr>
      <vt:lpstr>UAT Schedule</vt:lpstr>
      <vt:lpstr>UAT Issue Log</vt:lpstr>
      <vt:lpstr>Index List</vt:lpstr>
      <vt:lpstr>General Index</vt:lpstr>
      <vt:lpstr>Data Validation HIDE</vt:lpstr>
      <vt:lpstr>WageType Location</vt:lpstr>
      <vt:lpstr>Summary</vt:lpstr>
      <vt:lpstr>New Hire</vt:lpstr>
      <vt:lpstr>UAT1-Jan</vt:lpstr>
      <vt:lpstr>UAT2-Feb</vt:lpstr>
      <vt:lpstr>UAT3-Mar</vt:lpstr>
      <vt:lpstr>UAT4-Apr</vt:lpstr>
      <vt:lpstr>UAT5-May</vt:lpstr>
      <vt:lpstr>UAT6-Jun</vt:lpstr>
      <vt:lpstr>UAT7-Jul</vt:lpstr>
      <vt:lpstr>UAT8-Aug</vt:lpstr>
      <vt:lpstr>UAT9-Sep</vt:lpstr>
      <vt:lpstr>UAT10-Oct</vt:lpstr>
      <vt:lpstr>UAT11-Nov</vt:lpstr>
      <vt:lpstr>UAT12-Dec</vt:lpstr>
      <vt:lpstr>UAT13-Jan</vt:lpstr>
      <vt:lpstr>Parallel Validation</vt:lpstr>
      <vt:lpstr>UAT4-Apr Backup</vt:lpstr>
      <vt:lpstr>Confidentiality</vt:lpstr>
      <vt:lpstr>crmstatus</vt:lpstr>
      <vt:lpstr>cyclestatus</vt:lpstr>
      <vt:lpstr>indexcategory</vt:lpstr>
      <vt:lpstr>issstatus</vt:lpstr>
      <vt:lpstr>issuecat</vt:lpstr>
      <vt:lpstr>WTinfotype</vt:lpstr>
      <vt:lpstr>WTtype</vt:lpstr>
    </vt:vector>
  </TitlesOfParts>
  <Company>ADP Employer Services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VN - UAT Information Catalogue Template</dc:title>
  <dc:subject>GV00009475</dc:subject>
  <dc:creator>Cherie.Marnach@adp.com</dc:creator>
  <cp:lastModifiedBy>Xia, Summer (ESI)</cp:lastModifiedBy>
  <cp:lastPrinted>2005-09-28T05:35:45Z</cp:lastPrinted>
  <dcterms:created xsi:type="dcterms:W3CDTF">2005-08-11T01:54:44Z</dcterms:created>
  <dcterms:modified xsi:type="dcterms:W3CDTF">2020-04-27T11:36:14Z</dcterms:modified>
</cp:coreProperties>
</file>